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/>
  <bookViews>
    <workbookView xWindow="0" yWindow="300" windowWidth="15480" windowHeight="11460" tabRatio="912" firstSheet="7" activeTab="7"/>
  </bookViews>
  <sheets>
    <sheet name="Enero" sheetId="1" state="hidden" r:id="rId1"/>
    <sheet name="Febrero" sheetId="6" state="hidden" r:id="rId2"/>
    <sheet name="Agosto" sheetId="12" state="hidden" r:id="rId3"/>
    <sheet name="Septiembre" sheetId="13" state="hidden" r:id="rId4"/>
    <sheet name="Octubre" sheetId="14" state="hidden" r:id="rId5"/>
    <sheet name="Noviembre" sheetId="15" state="hidden" r:id="rId6"/>
    <sheet name="Diciembre" sheetId="16" state="hidden" r:id="rId7"/>
    <sheet name="Canvas" sheetId="22" r:id="rId8"/>
  </sheets>
  <definedNames>
    <definedName name="AbrDom1">DATE(Año_Calendario,4,1)-WEEKDAY(DATE(Año_Calendario,4,1))+1</definedName>
    <definedName name="AgoDom1">DATE(Año_Calendario,8,1)-WEEKDAY(DATE(Año_Calendario,8,1))+1</definedName>
    <definedName name="Año_Calendario">Enero!$N$2</definedName>
    <definedName name="_xlnm.Print_Area" localSheetId="2">Agosto!$A$1:$M$50</definedName>
    <definedName name="_xlnm.Print_Area" localSheetId="6">Diciembre!$A$1:$M$50</definedName>
    <definedName name="_xlnm.Print_Area" localSheetId="0">Enero!$A$1:$M$50</definedName>
    <definedName name="_xlnm.Print_Area" localSheetId="1">Febrero!$A$1:$M$50</definedName>
    <definedName name="_xlnm.Print_Area" localSheetId="5">Noviembre!$A$1:$M$50</definedName>
    <definedName name="_xlnm.Print_Area" localSheetId="4">Octubre!$A$1:$M$50</definedName>
    <definedName name="_xlnm.Print_Area" localSheetId="3">Septiembre!$A$1:$M$50</definedName>
    <definedName name="DíasDeTareas" localSheetId="2">Agosto!$L$4:$L$33</definedName>
    <definedName name="DíasDeTareas" localSheetId="6">Diciembre!$L$4:$L$33</definedName>
    <definedName name="DíasDeTareas" localSheetId="1">Febrero!$L$4:$L$33</definedName>
    <definedName name="DíasDeTareas" localSheetId="5">Noviembre!$L$4:$L$33</definedName>
    <definedName name="DíasDeTareas" localSheetId="4">Octubre!$L$4:$L$33</definedName>
    <definedName name="DíasDeTareas" localSheetId="3">Septiembre!$L$4:$L$33</definedName>
    <definedName name="DíasDeTareas">Enero!$L$4:$L$33</definedName>
    <definedName name="DicDom1">DATE(Año_Calendario,12,1)-WEEKDAY(DATE(Año_Calendario,12,1))+1</definedName>
    <definedName name="FebDom1">DATE(Año_Calendario,2,1)-WEEKDAY(DATE(Año_Calendario,2,1))+1</definedName>
    <definedName name="JanSun1">DATE(Año_Calendario,1,1)-WEEKDAY(DATE(Año_Calendario,1,1))+1</definedName>
    <definedName name="JulDom1">DATE(Año_Calendario,7,1)-WEEKDAY(DATE(Año_Calendario,7,1))+1</definedName>
    <definedName name="JunDom1">DATE(Año_Calendario,6,1)-WEEKDAY(DATE(Año_Calendario,6,1))+1</definedName>
    <definedName name="MarDom1">DATE(Año_Calendario,3,1)-WEEKDAY(DATE(Año_Calendario,3,1))+1</definedName>
    <definedName name="MayDom1">DATE(Año_Calendario,5,1)-WEEKDAY(DATE(Año_Calendario,5,1))+1</definedName>
    <definedName name="NovDom1">DATE(Año_Calendario,11,1)-WEEKDAY(DATE(Año_Calendario,11,1))+1</definedName>
    <definedName name="OctDom1">DATE(Año_Calendario,10,1)-WEEKDAY(DATE(Año_Calendario,10,1))+1</definedName>
    <definedName name="SepDom1">DATE(Año_Calendario,9,1)-WEEKDAY(DATE(Año_Calendario,9,1))+1</definedName>
    <definedName name="TablaFechasImportantes" localSheetId="2">Agosto!$L$4:$M$8</definedName>
    <definedName name="TablaFechasImportantes" localSheetId="6">Diciembre!$L$4:$M$8</definedName>
    <definedName name="TablaFechasImportantes" localSheetId="1">Febrero!$L$4:$M$8</definedName>
    <definedName name="TablaFechasImportantes" localSheetId="5">Noviembre!$L$4:$M$8</definedName>
    <definedName name="TablaFechasImportantes" localSheetId="4">Octubre!$L$4:$M$8</definedName>
    <definedName name="TablaFechasImportantes" localSheetId="3">Septiembre!$L$4:$M$8</definedName>
    <definedName name="TablaFechasImportantes">Enero!$L$4:$M$8</definedName>
  </definedNames>
  <calcPr calcId="145621"/>
</workbook>
</file>

<file path=xl/calcChain.xml><?xml version="1.0" encoding="utf-8"?>
<calcChain xmlns="http://schemas.openxmlformats.org/spreadsheetml/2006/main">
  <c r="I9" i="16" l="1"/>
  <c r="H9" i="16"/>
  <c r="G9" i="16"/>
  <c r="F9" i="16"/>
  <c r="E9" i="16"/>
  <c r="D9" i="16"/>
  <c r="C9" i="16"/>
  <c r="I8" i="16"/>
  <c r="H8" i="16"/>
  <c r="G8" i="16"/>
  <c r="F8" i="16"/>
  <c r="E8" i="16"/>
  <c r="D8" i="16"/>
  <c r="C8" i="16"/>
  <c r="I7" i="16"/>
  <c r="H7" i="16"/>
  <c r="G7" i="16"/>
  <c r="F7" i="16"/>
  <c r="E7" i="16"/>
  <c r="D7" i="16"/>
  <c r="C7" i="16"/>
  <c r="I6" i="16"/>
  <c r="H6" i="16"/>
  <c r="G6" i="16"/>
  <c r="F6" i="16"/>
  <c r="E6" i="16"/>
  <c r="D6" i="16"/>
  <c r="C6" i="16"/>
  <c r="I5" i="16"/>
  <c r="H5" i="16"/>
  <c r="G5" i="16"/>
  <c r="F5" i="16"/>
  <c r="E5" i="16"/>
  <c r="D5" i="16"/>
  <c r="C5" i="16"/>
  <c r="I4" i="16"/>
  <c r="H4" i="16"/>
  <c r="G4" i="16"/>
  <c r="F4" i="16"/>
  <c r="E4" i="16"/>
  <c r="D4" i="16"/>
  <c r="C4" i="16"/>
  <c r="I9" i="15"/>
  <c r="H9" i="15"/>
  <c r="G9" i="15"/>
  <c r="F9" i="15"/>
  <c r="E9" i="15"/>
  <c r="D9" i="15"/>
  <c r="C9" i="15"/>
  <c r="I8" i="15"/>
  <c r="H8" i="15"/>
  <c r="G8" i="15"/>
  <c r="F8" i="15"/>
  <c r="E8" i="15"/>
  <c r="D8" i="15"/>
  <c r="C8" i="15"/>
  <c r="I7" i="15"/>
  <c r="H7" i="15"/>
  <c r="G7" i="15"/>
  <c r="F7" i="15"/>
  <c r="E7" i="15"/>
  <c r="D7" i="15"/>
  <c r="C7" i="15"/>
  <c r="I6" i="15"/>
  <c r="H6" i="15"/>
  <c r="G6" i="15"/>
  <c r="F6" i="15"/>
  <c r="E6" i="15"/>
  <c r="D6" i="15"/>
  <c r="C6" i="15"/>
  <c r="I5" i="15"/>
  <c r="H5" i="15"/>
  <c r="G5" i="15"/>
  <c r="F5" i="15"/>
  <c r="E5" i="15"/>
  <c r="D5" i="15"/>
  <c r="C5" i="15"/>
  <c r="I4" i="15"/>
  <c r="H4" i="15"/>
  <c r="G4" i="15"/>
  <c r="F4" i="15"/>
  <c r="E4" i="15"/>
  <c r="D4" i="15"/>
  <c r="C4" i="15"/>
  <c r="I9" i="14"/>
  <c r="H9" i="14"/>
  <c r="G9" i="14"/>
  <c r="F9" i="14"/>
  <c r="E9" i="14"/>
  <c r="D9" i="14"/>
  <c r="C9" i="14"/>
  <c r="I8" i="14"/>
  <c r="H8" i="14"/>
  <c r="G8" i="14"/>
  <c r="F8" i="14"/>
  <c r="E8" i="14"/>
  <c r="D8" i="14"/>
  <c r="C8" i="14"/>
  <c r="I7" i="14"/>
  <c r="H7" i="14"/>
  <c r="G7" i="14"/>
  <c r="F7" i="14"/>
  <c r="E7" i="14"/>
  <c r="D7" i="14"/>
  <c r="C7" i="14"/>
  <c r="I6" i="14"/>
  <c r="H6" i="14"/>
  <c r="G6" i="14"/>
  <c r="F6" i="14"/>
  <c r="E6" i="14"/>
  <c r="D6" i="14"/>
  <c r="C6" i="14"/>
  <c r="I5" i="14"/>
  <c r="H5" i="14"/>
  <c r="G5" i="14"/>
  <c r="F5" i="14"/>
  <c r="E5" i="14"/>
  <c r="D5" i="14"/>
  <c r="C5" i="14"/>
  <c r="I4" i="14"/>
  <c r="H4" i="14"/>
  <c r="G4" i="14"/>
  <c r="F4" i="14"/>
  <c r="E4" i="14"/>
  <c r="D4" i="14"/>
  <c r="C4" i="14"/>
  <c r="I9" i="13"/>
  <c r="H9" i="13"/>
  <c r="G9" i="13"/>
  <c r="F9" i="13"/>
  <c r="E9" i="13"/>
  <c r="D9" i="13"/>
  <c r="C9" i="13"/>
  <c r="I8" i="13"/>
  <c r="H8" i="13"/>
  <c r="G8" i="13"/>
  <c r="F8" i="13"/>
  <c r="E8" i="13"/>
  <c r="D8" i="13"/>
  <c r="C8" i="13"/>
  <c r="I7" i="13"/>
  <c r="H7" i="13"/>
  <c r="G7" i="13"/>
  <c r="F7" i="13"/>
  <c r="E7" i="13"/>
  <c r="D7" i="13"/>
  <c r="C7" i="13"/>
  <c r="I6" i="13"/>
  <c r="H6" i="13"/>
  <c r="G6" i="13"/>
  <c r="F6" i="13"/>
  <c r="E6" i="13"/>
  <c r="D6" i="13"/>
  <c r="C6" i="13"/>
  <c r="I5" i="13"/>
  <c r="H5" i="13"/>
  <c r="G5" i="13"/>
  <c r="F5" i="13"/>
  <c r="E5" i="13"/>
  <c r="D5" i="13"/>
  <c r="C5" i="13"/>
  <c r="I4" i="13"/>
  <c r="H4" i="13"/>
  <c r="G4" i="13"/>
  <c r="F4" i="13"/>
  <c r="E4" i="13"/>
  <c r="D4" i="13"/>
  <c r="C4" i="13"/>
  <c r="I9" i="12"/>
  <c r="H9" i="12"/>
  <c r="G9" i="12"/>
  <c r="F9" i="12"/>
  <c r="E9" i="12"/>
  <c r="D9" i="12"/>
  <c r="C9" i="12"/>
  <c r="I8" i="12"/>
  <c r="H8" i="12"/>
  <c r="G8" i="12"/>
  <c r="F8" i="12"/>
  <c r="E8" i="12"/>
  <c r="D8" i="12"/>
  <c r="C8" i="12"/>
  <c r="I7" i="12"/>
  <c r="H7" i="12"/>
  <c r="G7" i="12"/>
  <c r="F7" i="12"/>
  <c r="E7" i="12"/>
  <c r="D7" i="12"/>
  <c r="C7" i="12"/>
  <c r="I6" i="12"/>
  <c r="H6" i="12"/>
  <c r="G6" i="12"/>
  <c r="F6" i="12"/>
  <c r="E6" i="12"/>
  <c r="D6" i="12"/>
  <c r="C6" i="12"/>
  <c r="I5" i="12"/>
  <c r="H5" i="12"/>
  <c r="G5" i="12"/>
  <c r="F5" i="12"/>
  <c r="E5" i="12"/>
  <c r="D5" i="12"/>
  <c r="C5" i="12"/>
  <c r="I4" i="12"/>
  <c r="H4" i="12"/>
  <c r="G4" i="12"/>
  <c r="F4" i="12"/>
  <c r="E4" i="12"/>
  <c r="D4" i="12"/>
  <c r="C4" i="12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6" i="6"/>
  <c r="H6" i="6"/>
  <c r="G6" i="6"/>
  <c r="F6" i="6"/>
  <c r="E6" i="6"/>
  <c r="D6" i="6"/>
  <c r="C6" i="6"/>
  <c r="I5" i="6"/>
  <c r="H5" i="6"/>
  <c r="G5" i="6"/>
  <c r="F5" i="6"/>
  <c r="E5" i="6"/>
  <c r="D5" i="6"/>
  <c r="C5" i="6"/>
  <c r="I4" i="6"/>
  <c r="H4" i="6"/>
  <c r="G4" i="6"/>
  <c r="F4" i="6"/>
  <c r="E4" i="6"/>
  <c r="D4" i="6"/>
  <c r="C4" i="6"/>
  <c r="H4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  <c r="I6" i="1"/>
  <c r="H6" i="1"/>
  <c r="G6" i="1"/>
  <c r="F6" i="1"/>
  <c r="E6" i="1"/>
  <c r="D6" i="1"/>
  <c r="C6" i="1"/>
  <c r="I5" i="1"/>
  <c r="H5" i="1"/>
  <c r="G5" i="1"/>
  <c r="F5" i="1"/>
  <c r="E5" i="1"/>
  <c r="D5" i="1"/>
  <c r="C5" i="1"/>
  <c r="I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<sst xmlns="http://schemas.openxmlformats.org/spreadsheetml/2006/main" count="377" uniqueCount="110">
  <si>
    <t>S</t>
  </si>
  <si>
    <t>M</t>
  </si>
  <si>
    <t>8:00</t>
  </si>
  <si>
    <t>9:00</t>
  </si>
  <si>
    <t>2:00</t>
  </si>
  <si>
    <t>10:00</t>
  </si>
  <si>
    <t>4:00</t>
  </si>
  <si>
    <t>TAREAS</t>
  </si>
  <si>
    <t>ENERO</t>
  </si>
  <si>
    <t>L</t>
  </si>
  <si>
    <t>X</t>
  </si>
  <si>
    <t>J</t>
  </si>
  <si>
    <t>V</t>
  </si>
  <si>
    <t>D</t>
  </si>
  <si>
    <t>DICIEMBRE</t>
  </si>
  <si>
    <t>HORARIO SEMANAL</t>
  </si>
  <si>
    <t>LUN</t>
  </si>
  <si>
    <t>MAR</t>
  </si>
  <si>
    <t>MIÉ</t>
  </si>
  <si>
    <t>JUE</t>
  </si>
  <si>
    <t>VIE</t>
  </si>
  <si>
    <t>Francés</t>
  </si>
  <si>
    <t>Historia del arte</t>
  </si>
  <si>
    <t>Matemáticas</t>
  </si>
  <si>
    <t>Inglés</t>
  </si>
  <si>
    <t>Programación</t>
  </si>
  <si>
    <t>NOVIEMBRE</t>
  </si>
  <si>
    <t>OCTUBRE</t>
  </si>
  <si>
    <t>SEPTIEMBRE</t>
  </si>
  <si>
    <t>AGOSTO</t>
  </si>
  <si>
    <t>FEBRERO</t>
  </si>
  <si>
    <t>Matemáticas: Examen</t>
  </si>
  <si>
    <t>Francés: Entrega del primer borrador en papel</t>
  </si>
  <si>
    <t>07:30 Inicio de Clases</t>
  </si>
  <si>
    <t>09:00 Break</t>
  </si>
  <si>
    <t>09:10 Reinicio de Clases</t>
  </si>
  <si>
    <t>10:30 Fin de clases</t>
  </si>
  <si>
    <t>JUE 23</t>
  </si>
  <si>
    <t xml:space="preserve"> </t>
  </si>
  <si>
    <t>SEMANA 1</t>
  </si>
  <si>
    <t>Business Model Canvas</t>
  </si>
  <si>
    <t>Diseñado para:</t>
  </si>
  <si>
    <t>Nombre y/o logo de tu empresa</t>
  </si>
  <si>
    <t>Diseñado por:</t>
  </si>
  <si>
    <t>Relaciones Clave</t>
  </si>
  <si>
    <t>Actividades Clave</t>
  </si>
  <si>
    <t>Propuesta de Valor</t>
  </si>
  <si>
    <t>Relaciones con los clientes</t>
  </si>
  <si>
    <t>Mercado Meta - Clientes</t>
  </si>
  <si>
    <t>CATEGORÍAS:</t>
  </si>
  <si>
    <t>CARACTERÍSTICAS:</t>
  </si>
  <si>
    <t>EJEMPLOS:</t>
  </si>
  <si>
    <t>EJEMPLO:</t>
  </si>
  <si>
    <t>* Producción</t>
  </si>
  <si>
    <t>* Innovación</t>
  </si>
  <si>
    <t>* Asistencia Personal</t>
  </si>
  <si>
    <t>* Mercado Masivo</t>
  </si>
  <si>
    <t>* Resolución de problemas</t>
  </si>
  <si>
    <t>* Mejor desempeño que los competidores</t>
  </si>
  <si>
    <t>* Autoservicio</t>
  </si>
  <si>
    <t>* Nicho de Mercado</t>
  </si>
  <si>
    <t>* Plataforma/Redes de Contacto</t>
  </si>
  <si>
    <t>* Mayor Efectividad que otros productos/seervicios</t>
  </si>
  <si>
    <t>* Servicios Automatizados</t>
  </si>
  <si>
    <t>* Segmentos</t>
  </si>
  <si>
    <t>* Mejor diseño</t>
  </si>
  <si>
    <t>* Comunidades</t>
  </si>
  <si>
    <t>* Diversificado</t>
  </si>
  <si>
    <t>* Marca/Status</t>
  </si>
  <si>
    <t>* Co-Creación</t>
  </si>
  <si>
    <t>* Plataforma Multi-uso</t>
  </si>
  <si>
    <t>* Ventaja en precio</t>
  </si>
  <si>
    <t>* Ventaja en costes</t>
  </si>
  <si>
    <t>* Menor riesgo que otros productos/servicios</t>
  </si>
  <si>
    <t>* Accesibilidad</t>
  </si>
  <si>
    <t>* Conveniencia/facilidad de uso</t>
  </si>
  <si>
    <t>Recursos Clave</t>
  </si>
  <si>
    <t>Canales de Distribución</t>
  </si>
  <si>
    <t>TIPOS DE RECURSOS:</t>
  </si>
  <si>
    <t>Proceso de evaluación:</t>
  </si>
  <si>
    <t>* Físicos</t>
  </si>
  <si>
    <t>1. Presencia: ¿Cómo puedes incrementar la presencia de tus prodctos y/o servicios?</t>
  </si>
  <si>
    <t>* Intelectuales (Marcas, Patentes, derechos reservados, bases de datos, etc)</t>
  </si>
  <si>
    <t>2. Evaluación: ¿Cómo estás ayudando a tus clientes a evaluar tu Propuesta de Valor?</t>
  </si>
  <si>
    <t>4. Entrega: ¿Cómo haces llegar tu Propuesta de Valor a tus clientes?</t>
  </si>
  <si>
    <t>5. Post-Venta: ¿Cómo provees soporte al cliente después de realizar una venta?</t>
  </si>
  <si>
    <t>Estructura de Costos</t>
  </si>
  <si>
    <t>Flujos de Ingresos</t>
  </si>
  <si>
    <t>TU NEGOCIO ESTA BASADO EN:</t>
  </si>
  <si>
    <t>TIPOS:</t>
  </si>
  <si>
    <t>* Manejo de los costes</t>
  </si>
  <si>
    <t>* Pago por uso</t>
  </si>
  <si>
    <t>* Crear Valor</t>
  </si>
  <si>
    <t>* Cuota por Suscripción</t>
  </si>
  <si>
    <t>* Préstamo, renta, sub-arrendamiento</t>
  </si>
  <si>
    <t>* Costos Fijos</t>
  </si>
  <si>
    <t>PRECIO FIJO</t>
  </si>
  <si>
    <t>PRECIO DINÁMICO:</t>
  </si>
  <si>
    <t>* Costos Variables</t>
  </si>
  <si>
    <t>* Lista de precios</t>
  </si>
  <si>
    <t xml:space="preserve">* Negociación </t>
  </si>
  <si>
    <t>* Economías de escala</t>
  </si>
  <si>
    <t>* Ajustable a las características del producto/servicio</t>
  </si>
  <si>
    <t>* Gestión de Márgenes</t>
  </si>
  <si>
    <t>* Economías de espectro</t>
  </si>
  <si>
    <t>* Ajustable al Segmento</t>
  </si>
  <si>
    <t>* Precio de acuerdo al mercado en tiempo real</t>
  </si>
  <si>
    <t>* Ajustable al volumen</t>
  </si>
  <si>
    <t>ALIANZAS ESTRATEGICAS</t>
  </si>
  <si>
    <t>3. Adquisición: ¿Por qué medios pueden tus clientes adquirir tus productos?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</si>
</sst>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"/>
    <numFmt numFmtId="171" formatCode="_([$€]* #,##0.00_);_([$€]* \(#,##0.00\);_([$€]* &quot;-&quot;??_);_(@_)"/>
    <numFmt numFmtId="172" formatCode="_(* #,##0\ &quot;pta&quot;_);_(* \(#,##0\ &quot;pta&quot;\);_(* &quot;-&quot;??\ &quot;pta&quot;_);_(@_)"/>
  </numFmts>
  <fonts count="35" x14ac:knownFonts="1">
    <font>
      <sz val="10"/>
      <color theme="1"/>
      <name val="Arial"/>
      <family val="2"/>
      <scheme val="minor"/>
    </font>
    <font>
      <sz val="12"/>
      <color rgb="FF002060"/>
      <name val="Arial"/>
      <family val="2"/>
      <scheme val="minor"/>
    </font>
    <font>
      <sz val="8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sz val="10"/>
      <color indexed="63"/>
      <name val="Arial"/>
      <family val="4"/>
      <scheme val="minor"/>
    </font>
    <font>
      <b/>
      <sz val="28"/>
      <color theme="1" tint="0.34998626667073579"/>
      <name val="Arial"/>
      <family val="2"/>
      <scheme val="minor"/>
    </font>
    <font>
      <sz val="12"/>
      <color theme="4"/>
      <name val="Arial"/>
      <family val="2"/>
      <scheme val="major"/>
    </font>
    <font>
      <sz val="10"/>
      <color theme="1"/>
      <name val="Arial"/>
      <family val="2"/>
      <scheme val="major"/>
    </font>
    <font>
      <b/>
      <sz val="12"/>
      <color theme="4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color theme="0"/>
      <name val="Arial"/>
      <family val="2"/>
      <scheme val="minor"/>
    </font>
    <font>
      <b/>
      <sz val="17"/>
      <color theme="4"/>
      <name val="Arial"/>
      <family val="4"/>
      <scheme val="minor"/>
    </font>
    <font>
      <b/>
      <sz val="8.5"/>
      <color theme="1"/>
      <name val="Arial"/>
      <family val="2"/>
      <scheme val="minor"/>
    </font>
    <font>
      <sz val="8.5"/>
      <color theme="1"/>
      <name val="Arial"/>
      <family val="2"/>
      <scheme val="minor"/>
    </font>
    <font>
      <b/>
      <sz val="17"/>
      <color theme="4"/>
      <name val="Arial"/>
      <family val="2"/>
      <scheme val="major"/>
    </font>
    <font>
      <b/>
      <sz val="8.5"/>
      <color theme="1"/>
      <name val="Arial"/>
      <family val="2"/>
      <scheme val="major"/>
    </font>
    <font>
      <sz val="10"/>
      <color theme="1" tint="0.249977111117893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0.5"/>
      <color theme="1" tint="0.249977111117893"/>
      <name val="Arial"/>
      <family val="2"/>
      <scheme val="minor"/>
    </font>
    <font>
      <b/>
      <sz val="10.5"/>
      <name val="Arial"/>
      <family val="2"/>
      <scheme val="minor"/>
    </font>
    <font>
      <b/>
      <sz val="24"/>
      <color theme="4"/>
      <name val="Arial"/>
      <family val="2"/>
      <scheme val="major"/>
    </font>
    <font>
      <sz val="11"/>
      <color theme="0"/>
      <name val="Arial"/>
      <family val="2"/>
      <scheme val="minor"/>
    </font>
    <font>
      <b/>
      <sz val="8"/>
      <color theme="1"/>
      <name val="Arial Narrow"/>
      <family val="2"/>
    </font>
    <font>
      <b/>
      <sz val="10.5"/>
      <color theme="1" tint="0.249977111117893"/>
      <name val="Arial"/>
      <family val="2"/>
      <scheme val="minor"/>
    </font>
    <font>
      <sz val="11"/>
      <name val="Arial Narrow"/>
      <family val="2"/>
    </font>
    <font>
      <sz val="8"/>
      <name val="Arial Narrow"/>
      <family val="2"/>
    </font>
    <font>
      <b/>
      <sz val="28"/>
      <name val="Arial Narrow"/>
      <family val="2"/>
    </font>
    <font>
      <b/>
      <sz val="11"/>
      <name val="Arial Narrow"/>
      <family val="2"/>
    </font>
    <font>
      <sz val="11"/>
      <color theme="0"/>
      <name val="Arial Narrow"/>
      <family val="2"/>
    </font>
    <font>
      <sz val="10"/>
      <name val="Arial"/>
      <family val="2"/>
      <charset val="1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5"/>
      </top>
      <bottom style="thin">
        <color theme="4" tint="0.79998168889431442"/>
      </bottom>
      <diagonal/>
    </border>
    <border>
      <left/>
      <right style="thin">
        <color theme="0"/>
      </right>
      <top/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4" tint="0.79998168889431442"/>
      </left>
      <right style="thin">
        <color theme="0"/>
      </right>
      <top/>
      <bottom style="thin">
        <color theme="4" tint="0.79995117038483843"/>
      </bottom>
      <diagonal/>
    </border>
    <border>
      <left style="thin">
        <color theme="0"/>
      </left>
      <right/>
      <top/>
      <bottom style="thin">
        <color theme="4" tint="0.79995117038483843"/>
      </bottom>
      <diagonal/>
    </border>
    <border>
      <left/>
      <right style="thin">
        <color theme="0"/>
      </right>
      <top/>
      <bottom style="thin">
        <color theme="4" tint="0.79995117038483843"/>
      </bottom>
      <diagonal/>
    </border>
    <border>
      <left/>
      <right/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 style="thin">
        <color theme="4" tint="0.79995117038483843"/>
      </bottom>
      <diagonal/>
    </border>
    <border>
      <left/>
      <right style="thin">
        <color theme="4" tint="0.79992065187536243"/>
      </right>
      <top/>
      <bottom/>
      <diagonal/>
    </border>
    <border>
      <left/>
      <right/>
      <top style="thin">
        <color theme="4" tint="0.79998168889431442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4" tint="0.79998168889431442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5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4" tint="0.7999816888943144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4" tint="0.79992065187536243"/>
      </right>
      <top/>
      <bottom style="thin">
        <color theme="0"/>
      </bottom>
      <diagonal/>
    </border>
    <border>
      <left/>
      <right style="thin">
        <color theme="4" tint="0.79992065187536243"/>
      </right>
      <top style="thin">
        <color theme="0"/>
      </top>
      <bottom/>
      <diagonal/>
    </border>
    <border>
      <left style="thin">
        <color theme="4" tint="0.79992065187536243"/>
      </left>
      <right/>
      <top/>
      <bottom/>
      <diagonal/>
    </border>
    <border>
      <left style="thin">
        <color theme="4" tint="0.79992065187536243"/>
      </left>
      <right/>
      <top/>
      <bottom style="thin">
        <color theme="4" tint="0.79989013336588644"/>
      </bottom>
      <diagonal/>
    </border>
    <border>
      <left/>
      <right/>
      <top/>
      <bottom style="thin">
        <color theme="4" tint="0.79989013336588644"/>
      </bottom>
      <diagonal/>
    </border>
    <border>
      <left/>
      <right style="thin">
        <color theme="4" tint="0.79989013336588644"/>
      </right>
      <top/>
      <bottom style="thin">
        <color theme="4" tint="0.79989013336588644"/>
      </bottom>
      <diagonal/>
    </border>
    <border>
      <left style="thin">
        <color theme="4" tint="0.79992065187536243"/>
      </left>
      <right/>
      <top style="thin">
        <color theme="4" tint="0.79989013336588644"/>
      </top>
      <bottom/>
      <diagonal/>
    </border>
    <border>
      <left/>
      <right/>
      <top style="thin">
        <color theme="4" tint="0.79989013336588644"/>
      </top>
      <bottom/>
      <diagonal/>
    </border>
    <border>
      <left/>
      <right style="thin">
        <color theme="4" tint="0.79989013336588644"/>
      </right>
      <top style="thin">
        <color theme="4" tint="0.79989013336588644"/>
      </top>
      <bottom/>
      <diagonal/>
    </border>
    <border>
      <left style="thin">
        <color theme="4" tint="0.79992065187536243"/>
      </left>
      <right/>
      <top style="thin">
        <color theme="4" tint="0.79998168889431442"/>
      </top>
      <bottom/>
      <diagonal/>
    </border>
    <border>
      <left/>
      <right/>
      <top style="thin">
        <color theme="4" tint="0.79989013336588644"/>
      </top>
      <bottom style="thin">
        <color theme="5"/>
      </bottom>
      <diagonal/>
    </border>
    <border>
      <left/>
      <right style="thin">
        <color theme="4" tint="0.79995117038483843"/>
      </right>
      <top style="thin">
        <color theme="4" tint="0.79989013336588644"/>
      </top>
      <bottom style="thin">
        <color theme="5"/>
      </bottom>
      <diagonal/>
    </border>
    <border>
      <left style="thin">
        <color theme="4" tint="0.79998168889431442"/>
      </left>
      <right/>
      <top style="thin">
        <color theme="4" tint="0.79995117038483843"/>
      </top>
      <bottom/>
      <diagonal/>
    </border>
    <border>
      <left/>
      <right/>
      <top style="thin">
        <color theme="4" tint="0.79995117038483843"/>
      </top>
      <bottom/>
      <diagonal/>
    </border>
    <border>
      <left/>
      <right style="thin">
        <color theme="4" tint="0.79992065187536243"/>
      </right>
      <top style="thin">
        <color theme="4" tint="0.79995117038483843"/>
      </top>
      <bottom/>
      <diagonal/>
    </border>
    <border>
      <left style="thin">
        <color theme="4" tint="0.79998168889431442"/>
      </left>
      <right/>
      <top/>
      <bottom style="thin">
        <color theme="4" tint="0.79995117038483843"/>
      </bottom>
      <diagonal/>
    </border>
    <border>
      <left/>
      <right style="thin">
        <color theme="4" tint="0.79985961485641044"/>
      </right>
      <top style="thin">
        <color theme="4" tint="0.79985961485641044"/>
      </top>
      <bottom/>
      <diagonal/>
    </border>
    <border>
      <left/>
      <right style="thin">
        <color theme="4" tint="0.79985961485641044"/>
      </right>
      <top/>
      <bottom style="thin">
        <color theme="4" tint="0.7998901333658864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4" fillId="0" borderId="0"/>
    <xf numFmtId="0" fontId="3" fillId="2" borderId="1" applyNumberFormat="0" applyAlignment="0" applyProtection="0"/>
    <xf numFmtId="0" fontId="5" fillId="3" borderId="0" applyNumberFormat="0" applyBorder="0" applyAlignment="0" applyProtection="0"/>
    <xf numFmtId="0" fontId="6" fillId="0" borderId="0" applyNumberFormat="0" applyFill="0" applyAlignment="0" applyProtection="0"/>
    <xf numFmtId="0" fontId="23" fillId="2" borderId="0" applyNumberFormat="0" applyBorder="0" applyAlignment="0" applyProtection="0"/>
    <xf numFmtId="0" fontId="31" fillId="0" borderId="0"/>
    <xf numFmtId="0" fontId="32" fillId="0" borderId="0"/>
    <xf numFmtId="171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0" fontId="34" fillId="0" borderId="0"/>
  </cellStyleXfs>
  <cellXfs count="140">
    <xf numFmtId="0" fontId="0" fillId="0" borderId="0" xfId="0"/>
    <xf numFmtId="0" fontId="0" fillId="0" borderId="0" xfId="0" applyFont="1"/>
    <xf numFmtId="0" fontId="8" fillId="0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left" indent="1"/>
    </xf>
    <xf numFmtId="0" fontId="0" fillId="0" borderId="9" xfId="0" applyFont="1" applyBorder="1"/>
    <xf numFmtId="0" fontId="0" fillId="0" borderId="16" xfId="0" applyFont="1" applyBorder="1"/>
    <xf numFmtId="0" fontId="15" fillId="5" borderId="21" xfId="0" applyFont="1" applyFill="1" applyBorder="1" applyAlignment="1">
      <alignment horizontal="left" vertical="top" indent="1"/>
    </xf>
    <xf numFmtId="0" fontId="15" fillId="5" borderId="11" xfId="0" applyFont="1" applyFill="1" applyBorder="1" applyAlignment="1">
      <alignment horizontal="left" vertical="top" indent="1"/>
    </xf>
    <xf numFmtId="49" fontId="14" fillId="5" borderId="8" xfId="0" applyNumberFormat="1" applyFont="1" applyFill="1" applyBorder="1" applyAlignment="1">
      <alignment horizontal="left" indent="1"/>
    </xf>
    <xf numFmtId="49" fontId="14" fillId="5" borderId="24" xfId="0" applyNumberFormat="1" applyFont="1" applyFill="1" applyBorder="1" applyAlignment="1">
      <alignment horizontal="left" indent="1"/>
    </xf>
    <xf numFmtId="164" fontId="2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textRotation="90"/>
    </xf>
    <xf numFmtId="0" fontId="10" fillId="0" borderId="0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textRotation="90"/>
    </xf>
    <xf numFmtId="164" fontId="1" fillId="0" borderId="14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4" fontId="10" fillId="0" borderId="14" xfId="0" applyNumberFormat="1" applyFont="1" applyFill="1" applyBorder="1" applyAlignment="1">
      <alignment horizontal="center"/>
    </xf>
    <xf numFmtId="0" fontId="0" fillId="0" borderId="40" xfId="0" applyFont="1" applyBorder="1"/>
    <xf numFmtId="0" fontId="0" fillId="0" borderId="41" xfId="0" applyFont="1" applyBorder="1"/>
    <xf numFmtId="164" fontId="21" fillId="0" borderId="14" xfId="0" applyNumberFormat="1" applyFont="1" applyFill="1" applyBorder="1" applyAlignment="1">
      <alignment horizontal="left" vertical="center" wrapText="1" indent="1"/>
    </xf>
    <xf numFmtId="0" fontId="0" fillId="0" borderId="15" xfId="0" applyFont="1" applyBorder="1"/>
    <xf numFmtId="0" fontId="0" fillId="0" borderId="43" xfId="0" applyFont="1" applyBorder="1"/>
    <xf numFmtId="0" fontId="0" fillId="0" borderId="44" xfId="0" applyFont="1" applyBorder="1"/>
    <xf numFmtId="164" fontId="25" fillId="6" borderId="0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  <xf numFmtId="0" fontId="18" fillId="0" borderId="37" xfId="0" applyFont="1" applyBorder="1" applyAlignment="1"/>
    <xf numFmtId="0" fontId="18" fillId="0" borderId="38" xfId="0" applyFont="1" applyBorder="1" applyAlignment="1"/>
    <xf numFmtId="0" fontId="28" fillId="7" borderId="0" xfId="0" applyFont="1" applyFill="1" applyBorder="1" applyAlignment="1">
      <alignment horizontal="center" vertical="center"/>
    </xf>
    <xf numFmtId="0" fontId="26" fillId="7" borderId="0" xfId="0" applyFont="1" applyFill="1" applyBorder="1" applyAlignment="1">
      <alignment horizontal="center"/>
    </xf>
    <xf numFmtId="0" fontId="26" fillId="7" borderId="0" xfId="0" applyFont="1" applyFill="1"/>
    <xf numFmtId="0" fontId="28" fillId="7" borderId="53" xfId="0" applyFont="1" applyFill="1" applyBorder="1" applyAlignment="1">
      <alignment vertical="center"/>
    </xf>
    <xf numFmtId="0" fontId="28" fillId="7" borderId="0" xfId="0" applyFont="1" applyFill="1" applyBorder="1" applyAlignment="1">
      <alignment vertical="center"/>
    </xf>
    <xf numFmtId="0" fontId="30" fillId="13" borderId="57" xfId="5" applyFont="1" applyFill="1" applyBorder="1" applyAlignment="1">
      <alignment horizontal="center" vertical="center"/>
    </xf>
    <xf numFmtId="0" fontId="30" fillId="10" borderId="57" xfId="5" applyFont="1" applyFill="1" applyBorder="1" applyAlignment="1">
      <alignment horizontal="center" vertical="center"/>
    </xf>
    <xf numFmtId="0" fontId="30" fillId="11" borderId="57" xfId="5" applyFont="1" applyFill="1" applyBorder="1" applyAlignment="1">
      <alignment horizontal="center" vertical="center"/>
    </xf>
    <xf numFmtId="0" fontId="30" fillId="8" borderId="49" xfId="5" applyFont="1" applyFill="1" applyBorder="1" applyAlignment="1">
      <alignment horizontal="center" vertical="center"/>
    </xf>
    <xf numFmtId="0" fontId="29" fillId="7" borderId="61" xfId="0" applyFont="1" applyFill="1" applyBorder="1"/>
    <xf numFmtId="0" fontId="26" fillId="7" borderId="0" xfId="0" applyFont="1" applyFill="1" applyBorder="1"/>
    <xf numFmtId="0" fontId="26" fillId="7" borderId="62" xfId="0" applyFont="1" applyFill="1" applyBorder="1"/>
    <xf numFmtId="0" fontId="26" fillId="13" borderId="0" xfId="0" applyFont="1" applyFill="1" applyBorder="1"/>
    <xf numFmtId="0" fontId="29" fillId="7" borderId="63" xfId="0" applyFont="1" applyFill="1" applyBorder="1"/>
    <xf numFmtId="0" fontId="26" fillId="7" borderId="57" xfId="0" applyFont="1" applyFill="1" applyBorder="1"/>
    <xf numFmtId="0" fontId="26" fillId="7" borderId="55" xfId="0" applyFont="1" applyFill="1" applyBorder="1"/>
    <xf numFmtId="0" fontId="26" fillId="10" borderId="0" xfId="0" applyFont="1" applyFill="1" applyBorder="1"/>
    <xf numFmtId="0" fontId="26" fillId="11" borderId="0" xfId="0" applyFont="1" applyFill="1" applyBorder="1"/>
    <xf numFmtId="0" fontId="26" fillId="8" borderId="57" xfId="0" applyFont="1" applyFill="1" applyBorder="1"/>
    <xf numFmtId="0" fontId="26" fillId="7" borderId="61" xfId="0" applyFont="1" applyFill="1" applyBorder="1"/>
    <xf numFmtId="0" fontId="26" fillId="8" borderId="0" xfId="0" applyFont="1" applyFill="1" applyBorder="1"/>
    <xf numFmtId="0" fontId="26" fillId="7" borderId="58" xfId="0" applyFont="1" applyFill="1" applyBorder="1"/>
    <xf numFmtId="0" fontId="26" fillId="7" borderId="51" xfId="0" applyFont="1" applyFill="1" applyBorder="1"/>
    <xf numFmtId="0" fontId="26" fillId="7" borderId="54" xfId="0" applyFont="1" applyFill="1" applyBorder="1"/>
    <xf numFmtId="0" fontId="30" fillId="10" borderId="0" xfId="5" applyFont="1" applyFill="1" applyBorder="1" applyAlignment="1">
      <alignment horizontal="center" vertical="center"/>
    </xf>
    <xf numFmtId="0" fontId="30" fillId="8" borderId="0" xfId="5" applyFont="1" applyFill="1" applyBorder="1" applyAlignment="1">
      <alignment horizontal="center" vertical="center"/>
    </xf>
    <xf numFmtId="0" fontId="26" fillId="7" borderId="63" xfId="0" applyFont="1" applyFill="1" applyBorder="1"/>
    <xf numFmtId="0" fontId="29" fillId="7" borderId="57" xfId="0" applyFont="1" applyFill="1" applyBorder="1"/>
    <xf numFmtId="0" fontId="26" fillId="10" borderId="63" xfId="0" applyFont="1" applyFill="1" applyBorder="1"/>
    <xf numFmtId="0" fontId="26" fillId="10" borderId="57" xfId="0" applyFont="1" applyFill="1" applyBorder="1"/>
    <xf numFmtId="0" fontId="26" fillId="9" borderId="49" xfId="0" applyFont="1" applyFill="1" applyBorder="1"/>
    <xf numFmtId="0" fontId="26" fillId="9" borderId="48" xfId="0" applyFont="1" applyFill="1" applyBorder="1"/>
    <xf numFmtId="0" fontId="30" fillId="7" borderId="57" xfId="5" applyFont="1" applyFill="1" applyBorder="1" applyAlignment="1">
      <alignment horizontal="center" vertical="center"/>
    </xf>
    <xf numFmtId="0" fontId="26" fillId="14" borderId="57" xfId="0" applyFont="1" applyFill="1" applyBorder="1"/>
    <xf numFmtId="0" fontId="26" fillId="14" borderId="0" xfId="0" applyFont="1" applyFill="1" applyBorder="1"/>
    <xf numFmtId="0" fontId="29" fillId="7" borderId="0" xfId="0" applyFont="1" applyFill="1" applyBorder="1"/>
    <xf numFmtId="0" fontId="26" fillId="14" borderId="51" xfId="0" applyFont="1" applyFill="1" applyBorder="1"/>
    <xf numFmtId="0" fontId="27" fillId="7" borderId="0" xfId="0" applyFont="1" applyFill="1"/>
    <xf numFmtId="0" fontId="9" fillId="0" borderId="36" xfId="0" applyFont="1" applyBorder="1" applyAlignment="1">
      <alignment vertical="center" textRotation="90"/>
    </xf>
    <xf numFmtId="0" fontId="9" fillId="0" borderId="29" xfId="0" applyFont="1" applyBorder="1" applyAlignment="1">
      <alignment vertical="center" textRotation="90"/>
    </xf>
    <xf numFmtId="0" fontId="18" fillId="0" borderId="3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20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0" fontId="9" fillId="0" borderId="3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12" fillId="4" borderId="10" xfId="0" applyFont="1" applyFill="1" applyBorder="1" applyAlignment="1">
      <alignment horizontal="left" indent="1"/>
    </xf>
    <xf numFmtId="0" fontId="12" fillId="4" borderId="16" xfId="0" applyFont="1" applyFill="1" applyBorder="1" applyAlignment="1">
      <alignment horizontal="left" indent="1"/>
    </xf>
    <xf numFmtId="0" fontId="12" fillId="4" borderId="6" xfId="0" applyFont="1" applyFill="1" applyBorder="1" applyAlignment="1">
      <alignment horizontal="left" indent="1"/>
    </xf>
    <xf numFmtId="0" fontId="16" fillId="0" borderId="33" xfId="0" applyFont="1" applyBorder="1" applyAlignment="1">
      <alignment horizontal="left" vertical="center" indent="2"/>
    </xf>
    <xf numFmtId="0" fontId="16" fillId="0" borderId="34" xfId="0" applyFont="1" applyBorder="1" applyAlignment="1">
      <alignment horizontal="left" vertical="center" indent="2"/>
    </xf>
    <xf numFmtId="0" fontId="16" fillId="0" borderId="30" xfId="0" applyFont="1" applyBorder="1" applyAlignment="1">
      <alignment horizontal="left" vertical="center" indent="2"/>
    </xf>
    <xf numFmtId="0" fontId="16" fillId="0" borderId="31" xfId="0" applyFont="1" applyBorder="1" applyAlignment="1">
      <alignment horizontal="left" vertical="center" indent="2"/>
    </xf>
    <xf numFmtId="0" fontId="9" fillId="0" borderId="33" xfId="0" applyFont="1" applyBorder="1" applyAlignment="1">
      <alignment horizontal="right" vertical="center" textRotation="90"/>
    </xf>
    <xf numFmtId="0" fontId="18" fillId="0" borderId="37" xfId="0" applyFont="1" applyBorder="1" applyAlignment="1">
      <alignment horizontal="left"/>
    </xf>
    <xf numFmtId="0" fontId="18" fillId="0" borderId="38" xfId="0" applyFont="1" applyBorder="1" applyAlignment="1">
      <alignment horizontal="left"/>
    </xf>
    <xf numFmtId="0" fontId="13" fillId="0" borderId="35" xfId="0" applyFont="1" applyFill="1" applyBorder="1" applyAlignment="1">
      <alignment vertical="center"/>
    </xf>
    <xf numFmtId="0" fontId="13" fillId="0" borderId="32" xfId="0" applyFont="1" applyFill="1" applyBorder="1" applyAlignment="1">
      <alignment vertical="center"/>
    </xf>
    <xf numFmtId="0" fontId="15" fillId="5" borderId="22" xfId="0" applyFont="1" applyFill="1" applyBorder="1" applyAlignment="1">
      <alignment horizontal="left" vertical="top" indent="1"/>
    </xf>
    <xf numFmtId="0" fontId="15" fillId="5" borderId="23" xfId="0" applyFont="1" applyFill="1" applyBorder="1" applyAlignment="1">
      <alignment horizontal="left" vertical="top" indent="1"/>
    </xf>
    <xf numFmtId="49" fontId="14" fillId="5" borderId="10" xfId="0" applyNumberFormat="1" applyFont="1" applyFill="1" applyBorder="1" applyAlignment="1">
      <alignment horizontal="left" indent="1"/>
    </xf>
    <xf numFmtId="49" fontId="14" fillId="5" borderId="6" xfId="0" applyNumberFormat="1" applyFont="1" applyFill="1" applyBorder="1" applyAlignment="1">
      <alignment horizontal="left" indent="1"/>
    </xf>
    <xf numFmtId="49" fontId="14" fillId="5" borderId="25" xfId="0" applyNumberFormat="1" applyFont="1" applyFill="1" applyBorder="1" applyAlignment="1">
      <alignment horizontal="left" indent="1"/>
    </xf>
    <xf numFmtId="49" fontId="14" fillId="5" borderId="26" xfId="0" applyNumberFormat="1" applyFont="1" applyFill="1" applyBorder="1" applyAlignment="1">
      <alignment horizontal="left" indent="1"/>
    </xf>
    <xf numFmtId="0" fontId="15" fillId="5" borderId="12" xfId="0" applyFont="1" applyFill="1" applyBorder="1" applyAlignment="1">
      <alignment horizontal="left" vertical="top" indent="1"/>
    </xf>
    <xf numFmtId="0" fontId="15" fillId="5" borderId="13" xfId="0" applyFont="1" applyFill="1" applyBorder="1" applyAlignment="1">
      <alignment horizontal="left" vertical="top" indent="1"/>
    </xf>
    <xf numFmtId="164" fontId="15" fillId="5" borderId="22" xfId="0" applyNumberFormat="1" applyFont="1" applyFill="1" applyBorder="1" applyAlignment="1">
      <alignment horizontal="left" vertical="top" indent="1"/>
    </xf>
    <xf numFmtId="164" fontId="15" fillId="5" borderId="27" xfId="0" applyNumberFormat="1" applyFont="1" applyFill="1" applyBorder="1" applyAlignment="1">
      <alignment horizontal="left" vertical="top" indent="1"/>
    </xf>
    <xf numFmtId="49" fontId="14" fillId="5" borderId="28" xfId="0" applyNumberFormat="1" applyFont="1" applyFill="1" applyBorder="1" applyAlignment="1">
      <alignment horizontal="left" indent="1"/>
    </xf>
    <xf numFmtId="49" fontId="14" fillId="5" borderId="16" xfId="0" applyNumberFormat="1" applyFont="1" applyFill="1" applyBorder="1" applyAlignment="1">
      <alignment horizontal="left" indent="1"/>
    </xf>
    <xf numFmtId="49" fontId="14" fillId="5" borderId="10" xfId="0" applyNumberFormat="1" applyFont="1" applyFill="1" applyBorder="1" applyAlignment="1">
      <alignment horizontal="left" vertical="center" indent="1"/>
    </xf>
    <xf numFmtId="49" fontId="14" fillId="5" borderId="16" xfId="0" applyNumberFormat="1" applyFont="1" applyFill="1" applyBorder="1" applyAlignment="1">
      <alignment horizontal="left" vertical="center" indent="1"/>
    </xf>
    <xf numFmtId="0" fontId="17" fillId="5" borderId="22" xfId="0" applyFont="1" applyFill="1" applyBorder="1" applyAlignment="1">
      <alignment horizontal="left" vertical="top" indent="1"/>
    </xf>
    <xf numFmtId="0" fontId="17" fillId="5" borderId="27" xfId="0" applyFont="1" applyFill="1" applyBorder="1" applyAlignment="1">
      <alignment horizontal="left" vertical="top" indent="1"/>
    </xf>
    <xf numFmtId="0" fontId="15" fillId="5" borderId="27" xfId="0" applyFont="1" applyFill="1" applyBorder="1" applyAlignment="1">
      <alignment horizontal="left" vertical="top" indent="1"/>
    </xf>
    <xf numFmtId="0" fontId="22" fillId="0" borderId="39" xfId="0" applyFont="1" applyFill="1" applyBorder="1" applyAlignment="1">
      <alignment horizontal="center" vertical="center" textRotation="90"/>
    </xf>
    <xf numFmtId="0" fontId="22" fillId="0" borderId="7" xfId="0" applyFont="1" applyFill="1" applyBorder="1" applyAlignment="1">
      <alignment horizontal="center" vertical="center" textRotation="90"/>
    </xf>
    <xf numFmtId="0" fontId="22" fillId="0" borderId="42" xfId="0" applyFont="1" applyFill="1" applyBorder="1" applyAlignment="1">
      <alignment horizontal="center" vertical="center" textRotation="90"/>
    </xf>
    <xf numFmtId="0" fontId="11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164" fontId="19" fillId="0" borderId="5" xfId="0" applyNumberFormat="1" applyFont="1" applyFill="1" applyBorder="1" applyAlignment="1">
      <alignment horizontal="left"/>
    </xf>
    <xf numFmtId="164" fontId="19" fillId="0" borderId="20" xfId="0" applyNumberFormat="1" applyFont="1" applyFill="1" applyBorder="1" applyAlignment="1">
      <alignment horizontal="left"/>
    </xf>
    <xf numFmtId="49" fontId="17" fillId="5" borderId="10" xfId="0" applyNumberFormat="1" applyFont="1" applyFill="1" applyBorder="1" applyAlignment="1">
      <alignment horizontal="left" indent="1"/>
    </xf>
    <xf numFmtId="49" fontId="17" fillId="5" borderId="16" xfId="0" applyNumberFormat="1" applyFont="1" applyFill="1" applyBorder="1" applyAlignment="1">
      <alignment horizontal="left" indent="1"/>
    </xf>
    <xf numFmtId="164" fontId="15" fillId="5" borderId="12" xfId="0" applyNumberFormat="1" applyFont="1" applyFill="1" applyBorder="1" applyAlignment="1">
      <alignment horizontal="left" vertical="top" indent="1"/>
    </xf>
    <xf numFmtId="164" fontId="15" fillId="5" borderId="15" xfId="0" applyNumberFormat="1" applyFont="1" applyFill="1" applyBorder="1" applyAlignment="1">
      <alignment horizontal="left" vertical="top" indent="1"/>
    </xf>
    <xf numFmtId="49" fontId="24" fillId="5" borderId="10" xfId="0" applyNumberFormat="1" applyFont="1" applyFill="1" applyBorder="1" applyAlignment="1">
      <alignment horizontal="left" indent="1"/>
    </xf>
    <xf numFmtId="49" fontId="24" fillId="5" borderId="6" xfId="0" applyNumberFormat="1" applyFont="1" applyFill="1" applyBorder="1" applyAlignment="1">
      <alignment horizontal="left" indent="1"/>
    </xf>
    <xf numFmtId="0" fontId="30" fillId="12" borderId="52" xfId="5" applyFont="1" applyFill="1" applyBorder="1" applyAlignment="1">
      <alignment horizontal="center" vertical="center"/>
    </xf>
    <xf numFmtId="0" fontId="30" fillId="12" borderId="49" xfId="5" applyFont="1" applyFill="1" applyBorder="1" applyAlignment="1">
      <alignment horizontal="center" vertical="center"/>
    </xf>
    <xf numFmtId="0" fontId="30" fillId="12" borderId="48" xfId="5" applyFont="1" applyFill="1" applyBorder="1" applyAlignment="1">
      <alignment horizontal="center" vertical="center"/>
    </xf>
    <xf numFmtId="0" fontId="30" fillId="12" borderId="0" xfId="5" applyFont="1" applyFill="1" applyBorder="1" applyAlignment="1">
      <alignment horizontal="center" vertical="center"/>
    </xf>
    <xf numFmtId="0" fontId="26" fillId="7" borderId="61" xfId="0" applyFont="1" applyFill="1" applyBorder="1" applyAlignment="1">
      <alignment horizontal="left" wrapText="1"/>
    </xf>
    <xf numFmtId="0" fontId="26" fillId="7" borderId="0" xfId="0" applyFont="1" applyFill="1" applyBorder="1" applyAlignment="1">
      <alignment horizontal="left" wrapText="1"/>
    </xf>
    <xf numFmtId="0" fontId="26" fillId="7" borderId="62" xfId="0" applyFont="1" applyFill="1" applyBorder="1" applyAlignment="1">
      <alignment horizontal="left" wrapText="1"/>
    </xf>
    <xf numFmtId="0" fontId="30" fillId="12" borderId="63" xfId="5" applyFont="1" applyFill="1" applyBorder="1" applyAlignment="1">
      <alignment horizontal="center" vertical="center"/>
    </xf>
    <xf numFmtId="0" fontId="30" fillId="12" borderId="57" xfId="5" applyFont="1" applyFill="1" applyBorder="1" applyAlignment="1">
      <alignment horizontal="center" vertical="center"/>
    </xf>
    <xf numFmtId="0" fontId="30" fillId="12" borderId="55" xfId="5" applyFont="1" applyFill="1" applyBorder="1" applyAlignment="1">
      <alignment horizontal="center" vertical="center"/>
    </xf>
    <xf numFmtId="0" fontId="28" fillId="6" borderId="50" xfId="0" applyFont="1" applyFill="1" applyBorder="1" applyAlignment="1">
      <alignment horizontal="center" vertical="center"/>
    </xf>
    <xf numFmtId="0" fontId="28" fillId="6" borderId="56" xfId="0" applyFont="1" applyFill="1" applyBorder="1" applyAlignment="1">
      <alignment horizontal="center" vertical="center"/>
    </xf>
    <xf numFmtId="0" fontId="28" fillId="6" borderId="45" xfId="0" applyFont="1" applyFill="1" applyBorder="1" applyAlignment="1">
      <alignment horizontal="center" vertical="center"/>
    </xf>
    <xf numFmtId="0" fontId="28" fillId="6" borderId="59" xfId="0" applyFont="1" applyFill="1" applyBorder="1" applyAlignment="1">
      <alignment horizontal="center" vertical="center"/>
    </xf>
    <xf numFmtId="0" fontId="28" fillId="6" borderId="60" xfId="0" applyFont="1" applyFill="1" applyBorder="1" applyAlignment="1">
      <alignment horizontal="center" vertical="center"/>
    </xf>
    <xf numFmtId="0" fontId="28" fillId="6" borderId="46" xfId="0" applyFont="1" applyFill="1" applyBorder="1" applyAlignment="1">
      <alignment horizontal="center" vertical="center"/>
    </xf>
    <xf numFmtId="0" fontId="29" fillId="6" borderId="47" xfId="0" applyFont="1" applyFill="1" applyBorder="1" applyAlignment="1">
      <alignment horizontal="center" vertical="center" wrapText="1"/>
    </xf>
    <xf numFmtId="0" fontId="29" fillId="7" borderId="47" xfId="0" applyFont="1" applyFill="1" applyBorder="1" applyAlignment="1">
      <alignment horizontal="center"/>
    </xf>
  </cellXfs>
  <cellStyles count="11">
    <cellStyle name="40% - Accent1 2" xfId="3"/>
    <cellStyle name="Accent1 2" xfId="2"/>
    <cellStyle name="Énfasis1" xfId="5" builtinId="29"/>
    <cellStyle name="Euro" xfId="8"/>
    <cellStyle name="Excel Built-in Normal" xfId="6"/>
    <cellStyle name="Heading 1 2" xfId="4"/>
    <cellStyle name="Normal" xfId="0" builtinId="0" customBuiltin="1"/>
    <cellStyle name="Normal 2" xfId="1"/>
    <cellStyle name="Normal 3" xfId="7"/>
    <cellStyle name="Normal 4" xfId="10"/>
    <cellStyle name="Währung" xfId="9"/>
  </cellStyles>
  <dxfs count="39"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4" tint="0.79998168889431442"/>
        </patternFill>
      </fill>
    </dxf>
    <dxf>
      <font>
        <b/>
        <i val="0"/>
        <color theme="1"/>
      </font>
      <fill>
        <patternFill patternType="solid"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0" tint="-0.24994659260841701"/>
      </font>
    </dxf>
    <dxf>
      <font>
        <color theme="0" tint="-0.24994659260841701"/>
      </font>
    </dxf>
    <dxf>
      <font>
        <b/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top style="double">
          <color theme="6" tint="-0.24994659260841701"/>
        </top>
      </border>
    </dxf>
    <dxf>
      <font>
        <color theme="0"/>
      </font>
      <fill>
        <patternFill patternType="solid">
          <fgColor theme="4"/>
          <bgColor theme="7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fill>
        <patternFill>
          <bgColor theme="0"/>
        </patternFill>
      </fill>
      <border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  <vertical/>
        <horizontal style="dashDotDot">
          <color theme="9" tint="0.59996337778862885"/>
        </horizontal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b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fill>
        <patternFill>
          <bgColor theme="0"/>
        </patternFill>
      </fill>
      <border>
        <top style="thin">
          <color theme="9"/>
        </top>
        <bottom style="thin">
          <color theme="9"/>
        </bottom>
      </border>
    </dxf>
  </dxfs>
  <tableStyles count="2" defaultTableStyle="TableStyleMedium2" defaultPivotStyle="PivotStyleLight16">
    <tableStyle name="TableStyleLight7 2" pivot="0" count="7">
      <tableStyleElement type="wholeTable" dxfId="38"/>
      <tableStyleElement type="headerRow" dxfId="37"/>
      <tableStyleElement type="totalRow" dxfId="36"/>
      <tableStyleElement type="firstColumn" dxfId="35"/>
      <tableStyleElement type="lastColumn" dxfId="34"/>
      <tableStyleElement type="firstRowStripe" dxfId="33"/>
      <tableStyleElement type="firstColumnStripe" dxfId="32"/>
    </tableStyle>
    <tableStyle name="TableStyleLight9 2" pivot="0" count="4">
      <tableStyleElement type="wholeTable" dxfId="31"/>
      <tableStyleElement type="headerRow" dxfId="30"/>
      <tableStyleElement type="totalRow" dxfId="29"/>
      <tableStyleElement type="firstColumn" dxfId="2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$N$2" max="2999" min="1900" page="10" val="2017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</xdr:row>
      <xdr:rowOff>28575</xdr:rowOff>
    </xdr:from>
    <xdr:to>
      <xdr:col>18</xdr:col>
      <xdr:colOff>552450</xdr:colOff>
      <xdr:row>2</xdr:row>
      <xdr:rowOff>238124</xdr:rowOff>
    </xdr:to>
    <xdr:sp macro="" textlink="">
      <xdr:nvSpPr>
        <xdr:cNvPr id="3" name="TextBox 2"/>
        <xdr:cNvSpPr txBox="1"/>
      </xdr:nvSpPr>
      <xdr:spPr>
        <a:xfrm>
          <a:off x="9639300" y="171450"/>
          <a:ext cx="2286000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000" b="1">
              <a:solidFill>
                <a:schemeClr val="accent1"/>
              </a:solidFill>
            </a:rPr>
            <a:t>Haga clic en el control de número para cambiar</a:t>
          </a:r>
          <a:r>
            <a:rPr lang="en-US" sz="1000" b="1" baseline="0">
              <a:solidFill>
                <a:schemeClr val="accent1"/>
              </a:solidFill>
            </a:rPr>
            <a:t> el año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</xdr:row>
          <xdr:rowOff>85725</xdr:rowOff>
        </xdr:from>
        <xdr:to>
          <xdr:col>15</xdr:col>
          <xdr:colOff>0</xdr:colOff>
          <xdr:row>2</xdr:row>
          <xdr:rowOff>161925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189442</xdr:colOff>
      <xdr:row>22</xdr:row>
      <xdr:rowOff>29634</xdr:rowOff>
    </xdr:from>
    <xdr:to>
      <xdr:col>2</xdr:col>
      <xdr:colOff>446617</xdr:colOff>
      <xdr:row>25</xdr:row>
      <xdr:rowOff>124884</xdr:rowOff>
    </xdr:to>
    <xdr:sp macro="" textlink="">
      <xdr:nvSpPr>
        <xdr:cNvPr id="2" name="TextBox 1"/>
        <xdr:cNvSpPr txBox="1"/>
      </xdr:nvSpPr>
      <xdr:spPr>
        <a:xfrm>
          <a:off x="189442" y="4230159"/>
          <a:ext cx="1933575" cy="666750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/>
            <a:t>- Tus socios clave</a:t>
          </a:r>
        </a:p>
        <a:p>
          <a:r>
            <a:rPr lang="en-US" sz="800"/>
            <a:t>- Proveedores clave</a:t>
          </a:r>
        </a:p>
        <a:p>
          <a:r>
            <a:rPr lang="en-US" sz="800"/>
            <a:t>- Recursos que te proveen</a:t>
          </a:r>
        </a:p>
        <a:p>
          <a:r>
            <a:rPr lang="en-US" sz="800"/>
            <a:t>- Actividades que realizan</a:t>
          </a:r>
        </a:p>
      </xdr:txBody>
    </xdr:sp>
    <xdr:clientData/>
  </xdr:twoCellAnchor>
  <xdr:twoCellAnchor>
    <xdr:from>
      <xdr:col>4</xdr:col>
      <xdr:colOff>232827</xdr:colOff>
      <xdr:row>11</xdr:row>
      <xdr:rowOff>88890</xdr:rowOff>
    </xdr:from>
    <xdr:to>
      <xdr:col>6</xdr:col>
      <xdr:colOff>867826</xdr:colOff>
      <xdr:row>14</xdr:row>
      <xdr:rowOff>148157</xdr:rowOff>
    </xdr:to>
    <xdr:sp macro="" textlink="">
      <xdr:nvSpPr>
        <xdr:cNvPr id="3" name="TextBox 2"/>
        <xdr:cNvSpPr txBox="1"/>
      </xdr:nvSpPr>
      <xdr:spPr>
        <a:xfrm>
          <a:off x="2795052" y="2193915"/>
          <a:ext cx="2539999" cy="630767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- ¿Qué actividades clave requiere tu propuesta de valor?</a:t>
          </a:r>
        </a:p>
        <a:p>
          <a:r>
            <a:rPr lang="en-US" sz="800"/>
            <a:t>- Canales de distribución</a:t>
          </a:r>
        </a:p>
        <a:p>
          <a:r>
            <a:rPr lang="en-US" sz="800"/>
            <a:t>- Relaciones con los clientes</a:t>
          </a:r>
        </a:p>
        <a:p>
          <a:r>
            <a:rPr lang="en-US" sz="800"/>
            <a:t>- Flujos de Ingresos</a:t>
          </a:r>
        </a:p>
      </xdr:txBody>
    </xdr:sp>
    <xdr:clientData/>
  </xdr:twoCellAnchor>
  <xdr:twoCellAnchor>
    <xdr:from>
      <xdr:col>4</xdr:col>
      <xdr:colOff>356647</xdr:colOff>
      <xdr:row>21</xdr:row>
      <xdr:rowOff>162974</xdr:rowOff>
    </xdr:from>
    <xdr:to>
      <xdr:col>6</xdr:col>
      <xdr:colOff>656159</xdr:colOff>
      <xdr:row>25</xdr:row>
      <xdr:rowOff>134399</xdr:rowOff>
    </xdr:to>
    <xdr:sp macro="" textlink="">
      <xdr:nvSpPr>
        <xdr:cNvPr id="4" name="TextBox 3"/>
        <xdr:cNvSpPr txBox="1"/>
      </xdr:nvSpPr>
      <xdr:spPr>
        <a:xfrm>
          <a:off x="2918872" y="4172999"/>
          <a:ext cx="2204512" cy="733425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800"/>
            <a:t>- ¿Qué recursos requiere tu propuesta de valor?</a:t>
          </a:r>
        </a:p>
        <a:p>
          <a:pPr algn="l"/>
          <a:r>
            <a:rPr lang="en-US" sz="800"/>
            <a:t>- Recursos de tus canales de Distribución</a:t>
          </a:r>
        </a:p>
        <a:p>
          <a:pPr algn="l"/>
          <a:r>
            <a:rPr lang="en-US" sz="800"/>
            <a:t>- Necesidades para las relaciones con los clientes</a:t>
          </a:r>
        </a:p>
        <a:p>
          <a:pPr algn="l"/>
          <a:r>
            <a:rPr lang="en-US" sz="800"/>
            <a:t>- Necesidades para los flujos de ingresos</a:t>
          </a:r>
        </a:p>
      </xdr:txBody>
    </xdr:sp>
    <xdr:clientData/>
  </xdr:twoCellAnchor>
  <xdr:twoCellAnchor>
    <xdr:from>
      <xdr:col>8</xdr:col>
      <xdr:colOff>38100</xdr:colOff>
      <xdr:row>21</xdr:row>
      <xdr:rowOff>174613</xdr:rowOff>
    </xdr:from>
    <xdr:to>
      <xdr:col>11</xdr:col>
      <xdr:colOff>981075</xdr:colOff>
      <xdr:row>25</xdr:row>
      <xdr:rowOff>136513</xdr:rowOff>
    </xdr:to>
    <xdr:sp macro="" textlink="">
      <xdr:nvSpPr>
        <xdr:cNvPr id="5" name="TextBox 4"/>
        <xdr:cNvSpPr txBox="1"/>
      </xdr:nvSpPr>
      <xdr:spPr>
        <a:xfrm>
          <a:off x="5505450" y="4184638"/>
          <a:ext cx="3028950" cy="723900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/>
            <a:t>-</a:t>
          </a:r>
          <a:r>
            <a:rPr lang="en-US" sz="800" baseline="0"/>
            <a:t> ¿</a:t>
          </a:r>
          <a:r>
            <a:rPr lang="en-US" sz="800"/>
            <a:t>Qué tipo de valor estamos generando para los clientes?</a:t>
          </a:r>
        </a:p>
        <a:p>
          <a:r>
            <a:rPr lang="en-US" sz="800"/>
            <a:t>-</a:t>
          </a:r>
          <a:r>
            <a:rPr lang="en-US" sz="800" baseline="0"/>
            <a:t> ¿</a:t>
          </a:r>
          <a:r>
            <a:rPr lang="en-US" sz="800"/>
            <a:t>Qué tipo de necesidades estamos atacando?</a:t>
          </a:r>
        </a:p>
        <a:p>
          <a:r>
            <a:rPr lang="en-US" sz="800"/>
            <a:t>-</a:t>
          </a:r>
          <a:r>
            <a:rPr lang="en-US" sz="800" baseline="0"/>
            <a:t> ¿</a:t>
          </a:r>
          <a:r>
            <a:rPr lang="en-US" sz="800"/>
            <a:t>Qué paquetes o soluciones estamos creando para nuestros clientes meta?</a:t>
          </a:r>
        </a:p>
        <a:p>
          <a:r>
            <a:rPr lang="en-US" sz="800"/>
            <a:t>-</a:t>
          </a:r>
          <a:r>
            <a:rPr lang="en-US" sz="800" baseline="0"/>
            <a:t> ¿</a:t>
          </a:r>
          <a:r>
            <a:rPr lang="en-US" sz="800"/>
            <a:t>Qué tipo de problemas en el mercado estamos resolviendo?</a:t>
          </a:r>
        </a:p>
      </xdr:txBody>
    </xdr:sp>
    <xdr:clientData/>
  </xdr:twoCellAnchor>
  <xdr:twoCellAnchor>
    <xdr:from>
      <xdr:col>13</xdr:col>
      <xdr:colOff>940828</xdr:colOff>
      <xdr:row>11</xdr:row>
      <xdr:rowOff>105831</xdr:rowOff>
    </xdr:from>
    <xdr:to>
      <xdr:col>15</xdr:col>
      <xdr:colOff>984221</xdr:colOff>
      <xdr:row>14</xdr:row>
      <xdr:rowOff>137582</xdr:rowOff>
    </xdr:to>
    <xdr:sp macro="" textlink="">
      <xdr:nvSpPr>
        <xdr:cNvPr id="6" name="TextBox 5"/>
        <xdr:cNvSpPr txBox="1"/>
      </xdr:nvSpPr>
      <xdr:spPr>
        <a:xfrm>
          <a:off x="9560953" y="2210856"/>
          <a:ext cx="3548593" cy="603251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/>
            <a:t>- ¿Qué tipo de relaciones buscamos con los clientes corto/mediano/largo plazo?</a:t>
          </a:r>
        </a:p>
        <a:p>
          <a:r>
            <a:rPr lang="en-US" sz="800"/>
            <a:t>- ¿Cómo se pueden integrar a nuestro modelo de negocios?</a:t>
          </a:r>
        </a:p>
        <a:p>
          <a:r>
            <a:rPr lang="en-US" sz="800"/>
            <a:t>- ¿Cuánto cuestan?</a:t>
          </a:r>
        </a:p>
      </xdr:txBody>
    </xdr:sp>
    <xdr:clientData/>
  </xdr:twoCellAnchor>
  <xdr:twoCellAnchor>
    <xdr:from>
      <xdr:col>17</xdr:col>
      <xdr:colOff>38100</xdr:colOff>
      <xdr:row>22</xdr:row>
      <xdr:rowOff>148162</xdr:rowOff>
    </xdr:from>
    <xdr:to>
      <xdr:col>19</xdr:col>
      <xdr:colOff>571500</xdr:colOff>
      <xdr:row>25</xdr:row>
      <xdr:rowOff>137579</xdr:rowOff>
    </xdr:to>
    <xdr:sp macro="" textlink="">
      <xdr:nvSpPr>
        <xdr:cNvPr id="7" name="TextBox 6"/>
        <xdr:cNvSpPr txBox="1"/>
      </xdr:nvSpPr>
      <xdr:spPr>
        <a:xfrm>
          <a:off x="13963650" y="4348687"/>
          <a:ext cx="2571750" cy="560917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/>
            <a:t>- ¿Para quién se está creando valor?</a:t>
          </a:r>
        </a:p>
        <a:p>
          <a:r>
            <a:rPr lang="en-US" sz="800"/>
            <a:t>- ¿Quiénes son nuestros clientes más importantes?</a:t>
          </a:r>
        </a:p>
      </xdr:txBody>
    </xdr:sp>
    <xdr:clientData/>
  </xdr:twoCellAnchor>
  <xdr:twoCellAnchor>
    <xdr:from>
      <xdr:col>15</xdr:col>
      <xdr:colOff>38046</xdr:colOff>
      <xdr:row>27</xdr:row>
      <xdr:rowOff>187320</xdr:rowOff>
    </xdr:from>
    <xdr:to>
      <xdr:col>19</xdr:col>
      <xdr:colOff>63445</xdr:colOff>
      <xdr:row>32</xdr:row>
      <xdr:rowOff>158750</xdr:rowOff>
    </xdr:to>
    <xdr:sp macro="" textlink="">
      <xdr:nvSpPr>
        <xdr:cNvPr id="8" name="TextBox 7"/>
        <xdr:cNvSpPr txBox="1"/>
      </xdr:nvSpPr>
      <xdr:spPr>
        <a:xfrm>
          <a:off x="12163371" y="5197470"/>
          <a:ext cx="3863974" cy="923930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/>
            <a:t>- Tus clientes están dispuestos a pagar ¿por qué clase de valor?</a:t>
          </a:r>
        </a:p>
        <a:p>
          <a:r>
            <a:rPr lang="en-US" sz="800"/>
            <a:t>- ¿Por qué están pagando actualmente?</a:t>
          </a:r>
        </a:p>
        <a:p>
          <a:r>
            <a:rPr lang="en-US" sz="800"/>
            <a:t>- ¿Cómo preferirían pagar?</a:t>
          </a:r>
        </a:p>
        <a:p>
          <a:r>
            <a:rPr lang="en-US" sz="800"/>
            <a:t>- ¿Cuánto contribuye cada flujo de ingresos al total de tus ingresos?</a:t>
          </a:r>
        </a:p>
      </xdr:txBody>
    </xdr:sp>
    <xdr:clientData/>
  </xdr:twoCellAnchor>
  <xdr:twoCellAnchor>
    <xdr:from>
      <xdr:col>3</xdr:col>
      <xdr:colOff>19050</xdr:colOff>
      <xdr:row>28</xdr:row>
      <xdr:rowOff>28575</xdr:rowOff>
    </xdr:from>
    <xdr:to>
      <xdr:col>8</xdr:col>
      <xdr:colOff>200025</xdr:colOff>
      <xdr:row>31</xdr:row>
      <xdr:rowOff>180975</xdr:rowOff>
    </xdr:to>
    <xdr:sp macro="" textlink="">
      <xdr:nvSpPr>
        <xdr:cNvPr id="9" name="TextBox 8"/>
        <xdr:cNvSpPr txBox="1"/>
      </xdr:nvSpPr>
      <xdr:spPr>
        <a:xfrm>
          <a:off x="2533650" y="5229225"/>
          <a:ext cx="3133725" cy="723900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/>
            <a:t>-</a:t>
          </a:r>
          <a:r>
            <a:rPr lang="en-US" sz="800" baseline="0"/>
            <a:t> ¿Cuáles son los constos más relevantes inherentes a tu modelo de negocio?</a:t>
          </a:r>
        </a:p>
        <a:p>
          <a:r>
            <a:rPr lang="en-US" sz="800" baseline="0"/>
            <a:t>- ¿Qué recursos clave son los más costosos?</a:t>
          </a:r>
        </a:p>
        <a:p>
          <a:r>
            <a:rPr lang="en-US" sz="800" baseline="0"/>
            <a:t>- ¿Qué actividades clave son las más costosas?</a:t>
          </a:r>
          <a:endParaRPr lang="en-US" sz="800"/>
        </a:p>
      </xdr:txBody>
    </xdr:sp>
    <xdr:clientData/>
  </xdr:twoCellAnchor>
  <xdr:twoCellAnchor>
    <xdr:from>
      <xdr:col>8</xdr:col>
      <xdr:colOff>923924</xdr:colOff>
      <xdr:row>32</xdr:row>
      <xdr:rowOff>0</xdr:rowOff>
    </xdr:from>
    <xdr:to>
      <xdr:col>13</xdr:col>
      <xdr:colOff>28574</xdr:colOff>
      <xdr:row>33</xdr:row>
      <xdr:rowOff>9525</xdr:rowOff>
    </xdr:to>
    <xdr:sp macro="" textlink="">
      <xdr:nvSpPr>
        <xdr:cNvPr id="10" name="TextBox 9"/>
        <xdr:cNvSpPr txBox="1"/>
      </xdr:nvSpPr>
      <xdr:spPr>
        <a:xfrm>
          <a:off x="6391274" y="5962650"/>
          <a:ext cx="2257425" cy="200025"/>
        </a:xfrm>
        <a:prstGeom prst="rect">
          <a:avLst/>
        </a:prstGeom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ysClr val="windowText" lastClr="000000"/>
              </a:solidFill>
            </a:rPr>
            <a:t>PUNTO DE EQUILIBRIO</a:t>
          </a:r>
        </a:p>
      </xdr:txBody>
    </xdr:sp>
    <xdr:clientData/>
  </xdr:twoCellAnchor>
  <xdr:twoCellAnchor>
    <xdr:from>
      <xdr:col>13</xdr:col>
      <xdr:colOff>1345141</xdr:colOff>
      <xdr:row>22</xdr:row>
      <xdr:rowOff>21167</xdr:rowOff>
    </xdr:from>
    <xdr:to>
      <xdr:col>15</xdr:col>
      <xdr:colOff>306919</xdr:colOff>
      <xdr:row>25</xdr:row>
      <xdr:rowOff>148163</xdr:rowOff>
    </xdr:to>
    <xdr:sp macro="" textlink="">
      <xdr:nvSpPr>
        <xdr:cNvPr id="11" name="TextBox 10"/>
        <xdr:cNvSpPr txBox="1"/>
      </xdr:nvSpPr>
      <xdr:spPr>
        <a:xfrm>
          <a:off x="9965266" y="4221692"/>
          <a:ext cx="2466978" cy="698496"/>
        </a:xfrm>
        <a:prstGeom prst="rect">
          <a:avLst/>
        </a:prstGeom>
        <a:ln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800"/>
            <a:t>- ¿Qué canales de comunicación prefieren tus clientes?</a:t>
          </a:r>
        </a:p>
        <a:p>
          <a:r>
            <a:rPr lang="en-US" sz="800"/>
            <a:t>- ¿Cómo los estás contactando ahora mismo?</a:t>
          </a:r>
        </a:p>
        <a:p>
          <a:r>
            <a:rPr lang="en-US" sz="800"/>
            <a:t>- ¿Cómo estamos integrando dichos canales?</a:t>
          </a:r>
        </a:p>
        <a:p>
          <a:r>
            <a:rPr lang="en-US" sz="800"/>
            <a:t>- ¿Qué canales funcionan mejor?</a:t>
          </a:r>
        </a:p>
        <a:p>
          <a:r>
            <a:rPr lang="en-US" sz="800"/>
            <a:t>- ¿Qué canales son más eficientes en cuanto a costes?</a:t>
          </a:r>
        </a:p>
        <a:p>
          <a:r>
            <a:rPr lang="en-US" sz="800"/>
            <a:t>- ¿Cómo los estás integrando en su</a:t>
          </a:r>
          <a:r>
            <a:rPr lang="en-US" sz="800" baseline="0"/>
            <a:t> </a:t>
          </a:r>
          <a:r>
            <a:rPr lang="en-US" sz="800"/>
            <a:t>rutina?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10_college_cal">
  <a:themeElements>
    <a:clrScheme name="Assignment Calenda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9B5D4"/>
      </a:accent1>
      <a:accent2>
        <a:srgbClr val="FFCCCC"/>
      </a:accent2>
      <a:accent3>
        <a:srgbClr val="4DBB68"/>
      </a:accent3>
      <a:accent4>
        <a:srgbClr val="FFFB59"/>
      </a:accent4>
      <a:accent5>
        <a:srgbClr val="FF9900"/>
      </a:accent5>
      <a:accent6>
        <a:srgbClr val="AC75D5"/>
      </a:accent6>
      <a:hlink>
        <a:srgbClr val="57B5D4"/>
      </a:hlink>
      <a:folHlink>
        <a:srgbClr val="BA4F8B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AO33"/>
  <sheetViews>
    <sheetView showGridLines="0" zoomScaleNormal="100" zoomScalePageLayoutView="84" workbookViewId="0">
      <selection activeCell="N2" sqref="N2:N3"/>
    </sheetView>
  </sheetViews>
  <sheetFormatPr baseColWidth="10"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108" t="s">
        <v>8</v>
      </c>
      <c r="C2" s="21"/>
      <c r="D2" s="21"/>
      <c r="E2" s="21"/>
      <c r="F2" s="21"/>
      <c r="G2" s="21"/>
      <c r="H2" s="21"/>
      <c r="I2" s="21"/>
      <c r="J2" s="22"/>
      <c r="K2" s="82" t="s">
        <v>7</v>
      </c>
      <c r="L2" s="83">
        <v>2013</v>
      </c>
      <c r="M2" s="83"/>
      <c r="N2" s="89">
        <v>2017</v>
      </c>
    </row>
    <row r="3" spans="1:14" ht="21" customHeight="1" x14ac:dyDescent="0.2">
      <c r="A3" s="4"/>
      <c r="B3" s="109"/>
      <c r="C3" s="2" t="s">
        <v>9</v>
      </c>
      <c r="D3" s="2" t="s">
        <v>1</v>
      </c>
      <c r="E3" s="2" t="s">
        <v>10</v>
      </c>
      <c r="F3" s="2" t="s">
        <v>11</v>
      </c>
      <c r="G3" s="2" t="s">
        <v>12</v>
      </c>
      <c r="H3" s="2" t="s">
        <v>0</v>
      </c>
      <c r="I3" s="2" t="s">
        <v>13</v>
      </c>
      <c r="J3" s="5"/>
      <c r="K3" s="84"/>
      <c r="L3" s="85"/>
      <c r="M3" s="85"/>
      <c r="N3" s="90"/>
    </row>
    <row r="4" spans="1:14" ht="18" customHeight="1" x14ac:dyDescent="0.2">
      <c r="A4" s="4"/>
      <c r="B4" s="109"/>
      <c r="C4" s="10">
        <f>IF(DAY(JanSun1)=1,JanSun1-6,JanSun1+1)</f>
        <v>42730</v>
      </c>
      <c r="D4" s="10">
        <f>IF(DAY(JanSun1)=1,JanSun1-5,JanSun1+2)</f>
        <v>42731</v>
      </c>
      <c r="E4" s="10">
        <f>IF(DAY(JanSun1)=1,JanSun1-4,JanSun1+3)</f>
        <v>42732</v>
      </c>
      <c r="F4" s="10">
        <f>IF(DAY(JanSun1)=1,JanSun1-3,JanSun1+4)</f>
        <v>42733</v>
      </c>
      <c r="G4" s="10">
        <f>IF(DAY(JanSun1)=1,JanSun1-2,JanSun1+5)</f>
        <v>42734</v>
      </c>
      <c r="H4" s="10">
        <f>IF(DAY(JanSun1)=1,JanSun1-1,JanSun1+6)</f>
        <v>42735</v>
      </c>
      <c r="I4" s="10">
        <f>IF(DAY(JanSun1)=1,JanSun1,JanSun1+7)</f>
        <v>42736</v>
      </c>
      <c r="J4" s="5"/>
      <c r="K4" s="86" t="s">
        <v>16</v>
      </c>
      <c r="L4" s="16">
        <v>3</v>
      </c>
      <c r="M4" s="87" t="s">
        <v>32</v>
      </c>
      <c r="N4" s="88"/>
    </row>
    <row r="5" spans="1:14" ht="18" customHeight="1" x14ac:dyDescent="0.2">
      <c r="A5" s="4"/>
      <c r="B5" s="109"/>
      <c r="C5" s="10">
        <f>IF(DAY(JanSun1)=1,JanSun1+1,JanSun1+8)</f>
        <v>42737</v>
      </c>
      <c r="D5" s="10">
        <f>IF(DAY(JanSun1)=1,JanSun1+2,JanSun1+9)</f>
        <v>42738</v>
      </c>
      <c r="E5" s="10">
        <f>IF(DAY(JanSun1)=1,JanSun1+3,JanSun1+10)</f>
        <v>42739</v>
      </c>
      <c r="F5" s="10">
        <f>IF(DAY(JanSun1)=1,JanSun1+4,JanSun1+11)</f>
        <v>42740</v>
      </c>
      <c r="G5" s="10">
        <f>IF(DAY(JanSun1)=1,JanSun1+5,JanSun1+12)</f>
        <v>42741</v>
      </c>
      <c r="H5" s="10">
        <f>IF(DAY(JanSun1)=1,JanSun1+6,JanSun1+13)</f>
        <v>42742</v>
      </c>
      <c r="I5" s="10">
        <f>IF(DAY(JanSun1)=1,JanSun1+7,JanSun1+14)</f>
        <v>42743</v>
      </c>
      <c r="J5" s="5"/>
      <c r="K5" s="78"/>
      <c r="L5" s="17"/>
      <c r="M5" s="71"/>
      <c r="N5" s="72"/>
    </row>
    <row r="6" spans="1:14" ht="18" customHeight="1" x14ac:dyDescent="0.2">
      <c r="A6" s="4"/>
      <c r="B6" s="109"/>
      <c r="C6" s="10">
        <f>IF(DAY(JanSun1)=1,JanSun1+8,JanSun1+15)</f>
        <v>42744</v>
      </c>
      <c r="D6" s="10">
        <f>IF(DAY(JanSun1)=1,JanSun1+9,JanSun1+16)</f>
        <v>42745</v>
      </c>
      <c r="E6" s="10">
        <f>IF(DAY(JanSun1)=1,JanSun1+10,JanSun1+17)</f>
        <v>42746</v>
      </c>
      <c r="F6" s="10">
        <f>IF(DAY(JanSun1)=1,JanSun1+11,JanSun1+18)</f>
        <v>42747</v>
      </c>
      <c r="G6" s="10">
        <f>IF(DAY(JanSun1)=1,JanSun1+12,JanSun1+19)</f>
        <v>42748</v>
      </c>
      <c r="H6" s="10">
        <f>IF(DAY(JanSun1)=1,JanSun1+13,JanSun1+20)</f>
        <v>42749</v>
      </c>
      <c r="I6" s="10">
        <f>IF(DAY(JanSun1)=1,JanSun1+14,JanSun1+21)</f>
        <v>42750</v>
      </c>
      <c r="J6" s="5"/>
      <c r="K6" s="78"/>
      <c r="L6" s="17"/>
      <c r="M6" s="71"/>
      <c r="N6" s="72"/>
    </row>
    <row r="7" spans="1:14" ht="18" customHeight="1" x14ac:dyDescent="0.2">
      <c r="A7" s="4"/>
      <c r="B7" s="109"/>
      <c r="C7" s="10">
        <f>IF(DAY(JanSun1)=1,JanSun1+15,JanSun1+22)</f>
        <v>42751</v>
      </c>
      <c r="D7" s="10">
        <f>IF(DAY(JanSun1)=1,JanSun1+16,JanSun1+23)</f>
        <v>42752</v>
      </c>
      <c r="E7" s="10">
        <f>IF(DAY(JanSun1)=1,JanSun1+17,JanSun1+24)</f>
        <v>42753</v>
      </c>
      <c r="F7" s="10">
        <f>IF(DAY(JanSun1)=1,JanSun1+18,JanSun1+25)</f>
        <v>42754</v>
      </c>
      <c r="G7" s="10">
        <f>IF(DAY(JanSun1)=1,JanSun1+19,JanSun1+26)</f>
        <v>42755</v>
      </c>
      <c r="H7" s="10">
        <f>IF(DAY(JanSun1)=1,JanSun1+20,JanSun1+27)</f>
        <v>42756</v>
      </c>
      <c r="I7" s="10">
        <f>IF(DAY(JanSun1)=1,JanSun1+21,JanSun1+28)</f>
        <v>42757</v>
      </c>
      <c r="J7" s="5"/>
      <c r="K7" s="11"/>
      <c r="L7" s="17"/>
      <c r="M7" s="71"/>
      <c r="N7" s="72"/>
    </row>
    <row r="8" spans="1:14" ht="18.75" customHeight="1" x14ac:dyDescent="0.2">
      <c r="A8" s="4"/>
      <c r="B8" s="109"/>
      <c r="C8" s="10">
        <f>IF(DAY(JanSun1)=1,JanSun1+22,JanSun1+29)</f>
        <v>42758</v>
      </c>
      <c r="D8" s="10">
        <f>IF(DAY(JanSun1)=1,JanSun1+23,JanSun1+30)</f>
        <v>42759</v>
      </c>
      <c r="E8" s="10">
        <f>IF(DAY(JanSun1)=1,JanSun1+24,JanSun1+31)</f>
        <v>42760</v>
      </c>
      <c r="F8" s="10">
        <f>IF(DAY(JanSun1)=1,JanSun1+25,JanSun1+32)</f>
        <v>42761</v>
      </c>
      <c r="G8" s="10">
        <f>IF(DAY(JanSun1)=1,JanSun1+26,JanSun1+33)</f>
        <v>42762</v>
      </c>
      <c r="H8" s="10">
        <f>IF(DAY(JanSun1)=1,JanSun1+27,JanSun1+34)</f>
        <v>42763</v>
      </c>
      <c r="I8" s="10">
        <f>IF(DAY(JanSun1)=1,JanSun1+28,JanSun1+35)</f>
        <v>42764</v>
      </c>
      <c r="J8" s="5"/>
      <c r="K8" s="11"/>
      <c r="L8" s="17"/>
      <c r="M8" s="71"/>
      <c r="N8" s="72"/>
    </row>
    <row r="9" spans="1:14" ht="18" customHeight="1" x14ac:dyDescent="0.2">
      <c r="A9" s="4"/>
      <c r="B9" s="109"/>
      <c r="C9" s="10">
        <f>IF(DAY(JanSun1)=1,JanSun1+29,JanSun1+36)</f>
        <v>42765</v>
      </c>
      <c r="D9" s="10">
        <f>IF(DAY(JanSun1)=1,JanSun1+30,JanSun1+37)</f>
        <v>42766</v>
      </c>
      <c r="E9" s="10">
        <f>IF(DAY(JanSun1)=1,JanSun1+31,JanSun1+38)</f>
        <v>42767</v>
      </c>
      <c r="F9" s="10">
        <f>IF(DAY(JanSun1)=1,JanSun1+32,JanSun1+39)</f>
        <v>42768</v>
      </c>
      <c r="G9" s="10">
        <f>IF(DAY(JanSun1)=1,JanSun1+33,JanSun1+40)</f>
        <v>42769</v>
      </c>
      <c r="H9" s="10">
        <f>IF(DAY(JanSun1)=1,JanSun1+34,JanSun1+41)</f>
        <v>42770</v>
      </c>
      <c r="I9" s="10">
        <f>IF(DAY(JanSun1)=1,JanSun1+35,JanSun1+42)</f>
        <v>42771</v>
      </c>
      <c r="J9" s="5"/>
      <c r="K9" s="12"/>
      <c r="L9" s="18"/>
      <c r="M9" s="73"/>
      <c r="N9" s="74"/>
    </row>
    <row r="10" spans="1:14" ht="18" customHeight="1" x14ac:dyDescent="0.2">
      <c r="A10" s="4"/>
      <c r="B10" s="110"/>
      <c r="C10" s="23"/>
      <c r="D10" s="23"/>
      <c r="E10" s="23"/>
      <c r="F10" s="23"/>
      <c r="G10" s="23"/>
      <c r="H10" s="23"/>
      <c r="I10" s="23"/>
      <c r="J10" s="24"/>
      <c r="K10" s="77" t="s">
        <v>17</v>
      </c>
      <c r="L10" s="16">
        <v>18</v>
      </c>
      <c r="M10" s="75" t="s">
        <v>31</v>
      </c>
      <c r="N10" s="76"/>
    </row>
    <row r="11" spans="1:14" ht="18" customHeight="1" x14ac:dyDescent="0.2">
      <c r="A11" s="4"/>
      <c r="B11" s="111" t="s">
        <v>15</v>
      </c>
      <c r="C11" s="112"/>
      <c r="D11" s="112"/>
      <c r="E11" s="112"/>
      <c r="F11" s="112"/>
      <c r="G11" s="112"/>
      <c r="H11" s="112"/>
      <c r="I11" s="112"/>
      <c r="J11" s="113"/>
      <c r="K11" s="78"/>
      <c r="L11" s="17"/>
      <c r="M11" s="71"/>
      <c r="N11" s="72"/>
    </row>
    <row r="12" spans="1:14" ht="18" customHeight="1" x14ac:dyDescent="0.2">
      <c r="A12" s="4"/>
      <c r="B12" s="111"/>
      <c r="C12" s="112"/>
      <c r="D12" s="112"/>
      <c r="E12" s="112"/>
      <c r="F12" s="112"/>
      <c r="G12" s="112"/>
      <c r="H12" s="112"/>
      <c r="I12" s="112"/>
      <c r="J12" s="113"/>
      <c r="K12" s="78"/>
      <c r="L12" s="17"/>
      <c r="M12" s="71"/>
      <c r="N12" s="72"/>
    </row>
    <row r="13" spans="1:14" ht="18" customHeight="1" x14ac:dyDescent="0.2">
      <c r="B13" s="3" t="s">
        <v>16</v>
      </c>
      <c r="C13" s="79" t="s">
        <v>17</v>
      </c>
      <c r="D13" s="81"/>
      <c r="E13" s="79" t="s">
        <v>18</v>
      </c>
      <c r="F13" s="81"/>
      <c r="G13" s="79" t="s">
        <v>19</v>
      </c>
      <c r="H13" s="81"/>
      <c r="I13" s="79" t="s">
        <v>20</v>
      </c>
      <c r="J13" s="80"/>
      <c r="K13" s="11"/>
      <c r="L13" s="17"/>
      <c r="M13" s="71"/>
      <c r="N13" s="72"/>
    </row>
    <row r="14" spans="1:14" ht="18" customHeight="1" x14ac:dyDescent="0.2">
      <c r="B14" s="8" t="s">
        <v>2</v>
      </c>
      <c r="C14" s="93"/>
      <c r="D14" s="94"/>
      <c r="E14" s="93" t="s">
        <v>2</v>
      </c>
      <c r="F14" s="94"/>
      <c r="G14" s="93"/>
      <c r="H14" s="94"/>
      <c r="I14" s="93" t="s">
        <v>2</v>
      </c>
      <c r="J14" s="102"/>
      <c r="K14" s="11"/>
      <c r="L14" s="17"/>
      <c r="M14" s="71"/>
      <c r="N14" s="72"/>
    </row>
    <row r="15" spans="1:14" ht="18" customHeight="1" x14ac:dyDescent="0.2">
      <c r="B15" s="6" t="s">
        <v>21</v>
      </c>
      <c r="C15" s="91"/>
      <c r="D15" s="92"/>
      <c r="E15" s="91" t="s">
        <v>21</v>
      </c>
      <c r="F15" s="92"/>
      <c r="G15" s="91"/>
      <c r="H15" s="92"/>
      <c r="I15" s="99" t="s">
        <v>21</v>
      </c>
      <c r="J15" s="100"/>
      <c r="K15" s="13"/>
      <c r="L15" s="19"/>
      <c r="M15" s="73"/>
      <c r="N15" s="74"/>
    </row>
    <row r="16" spans="1:14" ht="18" customHeight="1" x14ac:dyDescent="0.2">
      <c r="B16" s="8"/>
      <c r="C16" s="93" t="s">
        <v>3</v>
      </c>
      <c r="D16" s="94"/>
      <c r="E16" s="93"/>
      <c r="F16" s="94"/>
      <c r="G16" s="93" t="s">
        <v>3</v>
      </c>
      <c r="H16" s="94"/>
      <c r="I16" s="103"/>
      <c r="J16" s="104"/>
      <c r="K16" s="69" t="s">
        <v>18</v>
      </c>
      <c r="L16" s="16"/>
      <c r="M16" s="75"/>
      <c r="N16" s="76"/>
    </row>
    <row r="17" spans="2:14" ht="18" customHeight="1" x14ac:dyDescent="0.2">
      <c r="B17" s="6"/>
      <c r="C17" s="91" t="s">
        <v>22</v>
      </c>
      <c r="D17" s="92"/>
      <c r="E17" s="91"/>
      <c r="F17" s="92"/>
      <c r="G17" s="91" t="s">
        <v>22</v>
      </c>
      <c r="H17" s="92"/>
      <c r="I17" s="99"/>
      <c r="J17" s="100"/>
      <c r="K17" s="70"/>
      <c r="L17" s="17"/>
      <c r="M17" s="71"/>
      <c r="N17" s="72"/>
    </row>
    <row r="18" spans="2:14" ht="18" customHeight="1" x14ac:dyDescent="0.2">
      <c r="B18" s="9" t="s">
        <v>5</v>
      </c>
      <c r="C18" s="95"/>
      <c r="D18" s="96"/>
      <c r="E18" s="95" t="s">
        <v>5</v>
      </c>
      <c r="F18" s="96"/>
      <c r="G18" s="95"/>
      <c r="H18" s="96"/>
      <c r="I18" s="95" t="s">
        <v>5</v>
      </c>
      <c r="J18" s="101"/>
      <c r="K18" s="70"/>
      <c r="L18" s="17"/>
      <c r="M18" s="71"/>
      <c r="N18" s="72"/>
    </row>
    <row r="19" spans="2:14" ht="18" customHeight="1" x14ac:dyDescent="0.2">
      <c r="B19" s="6" t="s">
        <v>23</v>
      </c>
      <c r="C19" s="91"/>
      <c r="D19" s="92"/>
      <c r="E19" s="91" t="s">
        <v>23</v>
      </c>
      <c r="F19" s="92"/>
      <c r="G19" s="91"/>
      <c r="H19" s="92"/>
      <c r="I19" s="99" t="s">
        <v>23</v>
      </c>
      <c r="J19" s="100"/>
      <c r="K19" s="11"/>
      <c r="L19" s="17"/>
      <c r="M19" s="71"/>
      <c r="N19" s="72"/>
    </row>
    <row r="20" spans="2:14" ht="18" customHeight="1" x14ac:dyDescent="0.2">
      <c r="B20" s="8"/>
      <c r="C20" s="93"/>
      <c r="D20" s="94"/>
      <c r="E20" s="93"/>
      <c r="F20" s="94"/>
      <c r="G20" s="93"/>
      <c r="H20" s="94"/>
      <c r="I20" s="93"/>
      <c r="J20" s="102"/>
      <c r="K20" s="11"/>
      <c r="L20" s="17"/>
      <c r="M20" s="71"/>
      <c r="N20" s="72"/>
    </row>
    <row r="21" spans="2:14" ht="18" customHeight="1" x14ac:dyDescent="0.2">
      <c r="B21" s="6"/>
      <c r="C21" s="91"/>
      <c r="D21" s="92"/>
      <c r="E21" s="91"/>
      <c r="F21" s="92"/>
      <c r="G21" s="91"/>
      <c r="H21" s="92"/>
      <c r="I21" s="105"/>
      <c r="J21" s="106"/>
      <c r="K21" s="13"/>
      <c r="L21" s="19"/>
      <c r="M21" s="73"/>
      <c r="N21" s="74"/>
    </row>
    <row r="22" spans="2:14" ht="18" customHeight="1" x14ac:dyDescent="0.2">
      <c r="B22" s="8"/>
      <c r="C22" s="93"/>
      <c r="D22" s="94"/>
      <c r="E22" s="93"/>
      <c r="F22" s="94"/>
      <c r="G22" s="93"/>
      <c r="H22" s="94"/>
      <c r="I22" s="93"/>
      <c r="J22" s="102"/>
      <c r="K22" s="69" t="s">
        <v>19</v>
      </c>
      <c r="L22" s="16"/>
      <c r="M22" s="75"/>
      <c r="N22" s="76"/>
    </row>
    <row r="23" spans="2:14" ht="18" customHeight="1" x14ac:dyDescent="0.2">
      <c r="B23" s="6"/>
      <c r="C23" s="91"/>
      <c r="D23" s="92"/>
      <c r="E23" s="91"/>
      <c r="F23" s="92"/>
      <c r="G23" s="91"/>
      <c r="H23" s="92"/>
      <c r="I23" s="99"/>
      <c r="J23" s="100"/>
      <c r="K23" s="70"/>
      <c r="L23" s="17"/>
      <c r="M23" s="71"/>
      <c r="N23" s="72"/>
    </row>
    <row r="24" spans="2:14" ht="18" customHeight="1" x14ac:dyDescent="0.2">
      <c r="B24" s="8"/>
      <c r="C24" s="93"/>
      <c r="D24" s="94"/>
      <c r="E24" s="93"/>
      <c r="F24" s="94"/>
      <c r="G24" s="93"/>
      <c r="H24" s="94"/>
      <c r="I24" s="93"/>
      <c r="J24" s="102"/>
      <c r="K24" s="70"/>
      <c r="L24" s="17"/>
      <c r="M24" s="71"/>
      <c r="N24" s="72"/>
    </row>
    <row r="25" spans="2:14" ht="18" customHeight="1" x14ac:dyDescent="0.2">
      <c r="B25" s="6"/>
      <c r="C25" s="91"/>
      <c r="D25" s="92"/>
      <c r="E25" s="91"/>
      <c r="F25" s="92"/>
      <c r="G25" s="91"/>
      <c r="H25" s="92"/>
      <c r="I25" s="99"/>
      <c r="J25" s="100"/>
      <c r="K25" s="70"/>
      <c r="L25" s="17"/>
      <c r="M25" s="71"/>
      <c r="N25" s="72"/>
    </row>
    <row r="26" spans="2:14" ht="18" customHeight="1" x14ac:dyDescent="0.2">
      <c r="B26" s="8" t="s">
        <v>4</v>
      </c>
      <c r="C26" s="93"/>
      <c r="D26" s="94"/>
      <c r="E26" s="93" t="s">
        <v>4</v>
      </c>
      <c r="F26" s="94"/>
      <c r="G26" s="93"/>
      <c r="H26" s="94"/>
      <c r="I26" s="93" t="s">
        <v>4</v>
      </c>
      <c r="J26" s="102"/>
      <c r="K26" s="11"/>
      <c r="L26" s="17"/>
      <c r="M26" s="71"/>
      <c r="N26" s="72"/>
    </row>
    <row r="27" spans="2:14" ht="18" customHeight="1" x14ac:dyDescent="0.2">
      <c r="B27" s="6" t="s">
        <v>24</v>
      </c>
      <c r="C27" s="91"/>
      <c r="D27" s="92"/>
      <c r="E27" s="91" t="s">
        <v>24</v>
      </c>
      <c r="F27" s="92"/>
      <c r="G27" s="91"/>
      <c r="H27" s="92"/>
      <c r="I27" s="99" t="s">
        <v>24</v>
      </c>
      <c r="J27" s="100"/>
      <c r="K27" s="13"/>
      <c r="L27" s="19"/>
      <c r="M27" s="73"/>
      <c r="N27" s="74"/>
    </row>
    <row r="28" spans="2:14" ht="18" customHeight="1" x14ac:dyDescent="0.2">
      <c r="B28" s="8"/>
      <c r="C28" s="93"/>
      <c r="D28" s="94"/>
      <c r="E28" s="93"/>
      <c r="F28" s="94"/>
      <c r="G28" s="93"/>
      <c r="H28" s="94"/>
      <c r="I28" s="93"/>
      <c r="J28" s="102"/>
      <c r="K28" s="77" t="s">
        <v>20</v>
      </c>
      <c r="L28" s="16"/>
      <c r="M28" s="75"/>
      <c r="N28" s="76"/>
    </row>
    <row r="29" spans="2:14" ht="18" customHeight="1" x14ac:dyDescent="0.2">
      <c r="B29" s="6"/>
      <c r="C29" s="91"/>
      <c r="D29" s="92"/>
      <c r="E29" s="91"/>
      <c r="F29" s="92"/>
      <c r="G29" s="91"/>
      <c r="H29" s="92"/>
      <c r="I29" s="91"/>
      <c r="J29" s="107"/>
      <c r="K29" s="78"/>
      <c r="L29" s="17"/>
      <c r="M29" s="71"/>
      <c r="N29" s="72"/>
    </row>
    <row r="30" spans="2:14" ht="18" customHeight="1" x14ac:dyDescent="0.2">
      <c r="B30" s="8"/>
      <c r="C30" s="93" t="s">
        <v>6</v>
      </c>
      <c r="D30" s="94"/>
      <c r="E30" s="93"/>
      <c r="F30" s="94"/>
      <c r="G30" s="93" t="s">
        <v>6</v>
      </c>
      <c r="H30" s="94"/>
      <c r="I30" s="116"/>
      <c r="J30" s="117"/>
      <c r="K30" s="78"/>
      <c r="L30" s="17"/>
      <c r="M30" s="71"/>
      <c r="N30" s="72"/>
    </row>
    <row r="31" spans="2:14" ht="18" customHeight="1" x14ac:dyDescent="0.2">
      <c r="B31" s="6"/>
      <c r="C31" s="91" t="s">
        <v>25</v>
      </c>
      <c r="D31" s="92"/>
      <c r="E31" s="91"/>
      <c r="F31" s="92"/>
      <c r="G31" s="91" t="s">
        <v>25</v>
      </c>
      <c r="H31" s="92"/>
      <c r="I31" s="91"/>
      <c r="J31" s="107"/>
      <c r="K31" s="14"/>
      <c r="L31" s="17"/>
      <c r="M31" s="71"/>
      <c r="N31" s="72"/>
    </row>
    <row r="32" spans="2:14" ht="18" customHeight="1" x14ac:dyDescent="0.2">
      <c r="B32" s="8"/>
      <c r="C32" s="93"/>
      <c r="D32" s="94"/>
      <c r="E32" s="93"/>
      <c r="F32" s="94"/>
      <c r="G32" s="93"/>
      <c r="H32" s="94"/>
      <c r="I32" s="103"/>
      <c r="J32" s="104"/>
      <c r="K32" s="14"/>
      <c r="L32" s="17"/>
      <c r="M32" s="71"/>
      <c r="N32" s="72"/>
    </row>
    <row r="33" spans="2:14" ht="18" customHeight="1" x14ac:dyDescent="0.2">
      <c r="B33" s="7"/>
      <c r="C33" s="97"/>
      <c r="D33" s="98"/>
      <c r="E33" s="97"/>
      <c r="F33" s="98"/>
      <c r="G33" s="97"/>
      <c r="H33" s="98"/>
      <c r="I33" s="118"/>
      <c r="J33" s="119"/>
      <c r="K33" s="15"/>
      <c r="L33" s="20"/>
      <c r="M33" s="114"/>
      <c r="N33" s="115"/>
    </row>
  </sheetData>
  <mergeCells count="123">
    <mergeCell ref="B2:B10"/>
    <mergeCell ref="B11:J12"/>
    <mergeCell ref="M31:N31"/>
    <mergeCell ref="M32:N32"/>
    <mergeCell ref="M33:N33"/>
    <mergeCell ref="M26:N26"/>
    <mergeCell ref="M27:N27"/>
    <mergeCell ref="M28:N28"/>
    <mergeCell ref="M29:N29"/>
    <mergeCell ref="M30:N30"/>
    <mergeCell ref="M21:N21"/>
    <mergeCell ref="M22:N22"/>
    <mergeCell ref="M23:N23"/>
    <mergeCell ref="M24:N24"/>
    <mergeCell ref="M25:N25"/>
    <mergeCell ref="G30:H30"/>
    <mergeCell ref="G31:H31"/>
    <mergeCell ref="G32:H32"/>
    <mergeCell ref="G33:H33"/>
    <mergeCell ref="I30:J30"/>
    <mergeCell ref="I31:J31"/>
    <mergeCell ref="I32:J32"/>
    <mergeCell ref="I33:J33"/>
    <mergeCell ref="I25:J25"/>
    <mergeCell ref="I26:J26"/>
    <mergeCell ref="I27:J27"/>
    <mergeCell ref="I28:J28"/>
    <mergeCell ref="I29:J29"/>
    <mergeCell ref="G25:H25"/>
    <mergeCell ref="G26:H26"/>
    <mergeCell ref="G27:H27"/>
    <mergeCell ref="G28:H28"/>
    <mergeCell ref="G29:H29"/>
    <mergeCell ref="I22:J22"/>
    <mergeCell ref="I23:J23"/>
    <mergeCell ref="G22:H22"/>
    <mergeCell ref="G23:H23"/>
    <mergeCell ref="G24:H24"/>
    <mergeCell ref="I24:J24"/>
    <mergeCell ref="G20:H20"/>
    <mergeCell ref="G21:H21"/>
    <mergeCell ref="I19:J19"/>
    <mergeCell ref="I20:J20"/>
    <mergeCell ref="I21:J21"/>
    <mergeCell ref="G17:H17"/>
    <mergeCell ref="I17:J17"/>
    <mergeCell ref="G18:H18"/>
    <mergeCell ref="I18:J18"/>
    <mergeCell ref="G19:H19"/>
    <mergeCell ref="G14:H14"/>
    <mergeCell ref="I14:J14"/>
    <mergeCell ref="G15:H15"/>
    <mergeCell ref="I15:J15"/>
    <mergeCell ref="G16:H16"/>
    <mergeCell ref="I16:J16"/>
    <mergeCell ref="E18:F18"/>
    <mergeCell ref="E17:F17"/>
    <mergeCell ref="E16:F16"/>
    <mergeCell ref="E15:F15"/>
    <mergeCell ref="E14:F14"/>
    <mergeCell ref="E23:F23"/>
    <mergeCell ref="E22:F22"/>
    <mergeCell ref="E21:F21"/>
    <mergeCell ref="E20:F20"/>
    <mergeCell ref="E19:F19"/>
    <mergeCell ref="E28:F28"/>
    <mergeCell ref="E27:F27"/>
    <mergeCell ref="E26:F26"/>
    <mergeCell ref="E25:F25"/>
    <mergeCell ref="E24:F24"/>
    <mergeCell ref="E33:F33"/>
    <mergeCell ref="E32:F32"/>
    <mergeCell ref="E31:F31"/>
    <mergeCell ref="E30:F30"/>
    <mergeCell ref="E29:F29"/>
    <mergeCell ref="C16:D16"/>
    <mergeCell ref="C17:D17"/>
    <mergeCell ref="C18:D1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K28:K30"/>
    <mergeCell ref="I13:J13"/>
    <mergeCell ref="G13:H13"/>
    <mergeCell ref="E13:F13"/>
    <mergeCell ref="C13:D13"/>
    <mergeCell ref="K2:M3"/>
    <mergeCell ref="K10:K12"/>
    <mergeCell ref="K4:K6"/>
    <mergeCell ref="M4:N4"/>
    <mergeCell ref="M5:N5"/>
    <mergeCell ref="M6:N6"/>
    <mergeCell ref="M7:N7"/>
    <mergeCell ref="M8:N8"/>
    <mergeCell ref="M9:N9"/>
    <mergeCell ref="M10:N10"/>
    <mergeCell ref="M11:N11"/>
    <mergeCell ref="N2:N3"/>
    <mergeCell ref="C19:D19"/>
    <mergeCell ref="C20:D20"/>
    <mergeCell ref="C21:D21"/>
    <mergeCell ref="C22:D22"/>
    <mergeCell ref="C23:D23"/>
    <mergeCell ref="C14:D14"/>
    <mergeCell ref="C15:D15"/>
    <mergeCell ref="K16:K18"/>
    <mergeCell ref="K22:K25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</mergeCells>
  <phoneticPr fontId="2" type="noConversion"/>
  <conditionalFormatting sqref="C4:H4">
    <cfRule type="expression" dxfId="27" priority="4" stopIfTrue="1">
      <formula>DAY(C4)&gt;8</formula>
    </cfRule>
  </conditionalFormatting>
  <conditionalFormatting sqref="C8:I10">
    <cfRule type="expression" dxfId="26" priority="3" stopIfTrue="1">
      <formula>AND(DAY(C8)&gt;=1,DAY(C8)&lt;=15)</formula>
    </cfRule>
  </conditionalFormatting>
  <conditionalFormatting sqref="C4:I9">
    <cfRule type="expression" dxfId="25" priority="15">
      <formula>VLOOKUP(DAY(C4),DíasDeTareas,1,FALSE)=DAY(C4)</formula>
    </cfRule>
  </conditionalFormatting>
  <conditionalFormatting sqref="B14:J33">
    <cfRule type="expression" dxfId="24" priority="1">
      <formula>B14&lt;&gt;""</formula>
    </cfRule>
  </conditionalFormatting>
  <dataValidations count="1">
    <dataValidation allowBlank="1" showInputMessage="1" showErrorMessage="1" errorTitle="Invalid Year" error="Enter a year from 1900 to 9999, or use the scroll bar to find a year." sqref="N2"/>
  </dataValidations>
  <printOptions horizontalCentered="1"/>
  <pageMargins left="0.5" right="0.5" top="0.5" bottom="0.5" header="0.3" footer="0.3"/>
  <pageSetup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print="0" autoPict="0" altText="Spinner control. Use spinner to change calendar year or type desired year in cell L2 ">
                <anchor moveWithCells="1">
                  <from>
                    <xdr:col>14</xdr:col>
                    <xdr:colOff>28575</xdr:colOff>
                    <xdr:row>1</xdr:row>
                    <xdr:rowOff>85725</xdr:rowOff>
                  </from>
                  <to>
                    <xdr:col>15</xdr:col>
                    <xdr:colOff>0</xdr:colOff>
                    <xdr:row>2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O33"/>
  <sheetViews>
    <sheetView showGridLines="0" zoomScaleNormal="100" zoomScalePageLayoutView="84" workbookViewId="0">
      <selection activeCell="K4" sqref="K4:N6"/>
    </sheetView>
  </sheetViews>
  <sheetFormatPr baseColWidth="10" defaultColWidth="8.7109375" defaultRowHeight="16.5" customHeight="1" x14ac:dyDescent="0.2"/>
  <cols>
    <col min="1" max="1" width="2.28515625" style="1" customWidth="1"/>
    <col min="2" max="2" width="12.7109375" style="1" customWidth="1"/>
    <col min="3" max="6" width="6.7109375" style="1" customWidth="1"/>
    <col min="7" max="8" width="8.7109375" style="1" customWidth="1"/>
    <col min="9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108" t="s">
        <v>30</v>
      </c>
      <c r="C2" s="21"/>
      <c r="D2" s="21"/>
      <c r="E2" s="21"/>
      <c r="F2" s="21"/>
      <c r="G2" s="21"/>
      <c r="H2" s="21"/>
      <c r="I2" s="21"/>
      <c r="J2" s="22"/>
      <c r="K2" s="82" t="s">
        <v>7</v>
      </c>
      <c r="L2" s="83">
        <v>2013</v>
      </c>
      <c r="M2" s="83"/>
      <c r="N2" s="25"/>
    </row>
    <row r="3" spans="1:14" ht="21" customHeight="1" x14ac:dyDescent="0.2">
      <c r="A3" s="4"/>
      <c r="B3" s="109"/>
      <c r="C3" s="2" t="s">
        <v>9</v>
      </c>
      <c r="D3" s="2" t="s">
        <v>1</v>
      </c>
      <c r="E3" s="2" t="s">
        <v>10</v>
      </c>
      <c r="F3" s="2" t="s">
        <v>11</v>
      </c>
      <c r="G3" s="2" t="s">
        <v>12</v>
      </c>
      <c r="H3" s="2" t="s">
        <v>0</v>
      </c>
      <c r="I3" s="2" t="s">
        <v>13</v>
      </c>
      <c r="J3" s="5"/>
      <c r="K3" s="84"/>
      <c r="L3" s="85"/>
      <c r="M3" s="85"/>
      <c r="N3" s="26"/>
    </row>
    <row r="4" spans="1:14" ht="18" customHeight="1" x14ac:dyDescent="0.2">
      <c r="A4" s="4"/>
      <c r="B4" s="109"/>
      <c r="C4" s="10">
        <f>IF(DAY(FebDom1)=1,FebDom1-6,FebDom1+1)</f>
        <v>42765</v>
      </c>
      <c r="D4" s="10">
        <f>IF(DAY(FebDom1)=1,FebDom1-5,FebDom1+2)</f>
        <v>42766</v>
      </c>
      <c r="E4" s="10">
        <f>IF(DAY(FebDom1)=1,FebDom1-4,FebDom1+3)</f>
        <v>42767</v>
      </c>
      <c r="F4" s="10">
        <f>IF(DAY(FebDom1)=1,FebDom1-3,FebDom1+4)</f>
        <v>42768</v>
      </c>
      <c r="G4" s="10">
        <f>IF(DAY(FebDom1)=1,FebDom1-2,FebDom1+5)</f>
        <v>42769</v>
      </c>
      <c r="H4" s="10">
        <f>IF(DAY(FebDom1)=1,FebDom1-1,FebDom1+6)</f>
        <v>42770</v>
      </c>
      <c r="I4" s="10">
        <f>IF(DAY(FebDom1)=1,FebDom1,FebDom1+7)</f>
        <v>42771</v>
      </c>
      <c r="J4" s="5"/>
      <c r="K4" s="86" t="s">
        <v>37</v>
      </c>
      <c r="L4" s="28" t="s">
        <v>39</v>
      </c>
      <c r="M4" s="29"/>
      <c r="N4" s="30"/>
    </row>
    <row r="5" spans="1:14" ht="18" customHeight="1" x14ac:dyDescent="0.2">
      <c r="A5" s="4"/>
      <c r="B5" s="109"/>
      <c r="C5" s="10">
        <f>IF(DAY(FebDom1)=1,FebDom1+1,FebDom1+8)</f>
        <v>42772</v>
      </c>
      <c r="D5" s="10">
        <f>IF(DAY(FebDom1)=1,FebDom1+2,FebDom1+9)</f>
        <v>42773</v>
      </c>
      <c r="E5" s="10">
        <f>IF(DAY(FebDom1)=1,FebDom1+3,FebDom1+10)</f>
        <v>42774</v>
      </c>
      <c r="F5" s="10">
        <f>IF(DAY(FebDom1)=1,FebDom1+4,FebDom1+11)</f>
        <v>42775</v>
      </c>
      <c r="G5" s="10">
        <f>IF(DAY(FebDom1)=1,FebDom1+5,FebDom1+12)</f>
        <v>42776</v>
      </c>
      <c r="H5" s="10">
        <f>IF(DAY(FebDom1)=1,FebDom1+6,FebDom1+13)</f>
        <v>42777</v>
      </c>
      <c r="I5" s="10">
        <f>IF(DAY(FebDom1)=1,FebDom1+7,FebDom1+14)</f>
        <v>42778</v>
      </c>
      <c r="J5" s="5"/>
      <c r="K5" s="78"/>
      <c r="L5" s="17"/>
      <c r="M5" s="71"/>
      <c r="N5" s="72"/>
    </row>
    <row r="6" spans="1:14" ht="18" customHeight="1" x14ac:dyDescent="0.2">
      <c r="A6" s="4"/>
      <c r="B6" s="109"/>
      <c r="C6" s="10">
        <f>IF(DAY(FebDom1)=1,FebDom1+8,FebDom1+15)</f>
        <v>42779</v>
      </c>
      <c r="D6" s="10">
        <f>IF(DAY(FebDom1)=1,FebDom1+9,FebDom1+16)</f>
        <v>42780</v>
      </c>
      <c r="E6" s="10">
        <f>IF(DAY(FebDom1)=1,FebDom1+10,FebDom1+17)</f>
        <v>42781</v>
      </c>
      <c r="F6" s="10">
        <f>IF(DAY(FebDom1)=1,FebDom1+11,FebDom1+18)</f>
        <v>42782</v>
      </c>
      <c r="G6" s="10">
        <f>IF(DAY(FebDom1)=1,FebDom1+12,FebDom1+19)</f>
        <v>42783</v>
      </c>
      <c r="H6" s="10">
        <f>IF(DAY(FebDom1)=1,FebDom1+13,FebDom1+20)</f>
        <v>42784</v>
      </c>
      <c r="I6" s="10">
        <f>IF(DAY(FebDom1)=1,FebDom1+14,FebDom1+21)</f>
        <v>42785</v>
      </c>
      <c r="J6" s="5"/>
      <c r="K6" s="78"/>
      <c r="L6" s="17"/>
      <c r="M6" s="71"/>
      <c r="N6" s="72"/>
    </row>
    <row r="7" spans="1:14" ht="18" customHeight="1" x14ac:dyDescent="0.2">
      <c r="A7" s="4"/>
      <c r="B7" s="109"/>
      <c r="C7" s="10">
        <f>IF(DAY(FebDom1)=1,FebDom1+15,FebDom1+22)</f>
        <v>42786</v>
      </c>
      <c r="D7" s="10">
        <f>IF(DAY(FebDom1)=1,FebDom1+16,FebDom1+23)</f>
        <v>42787</v>
      </c>
      <c r="E7" s="10">
        <f>IF(DAY(FebDom1)=1,FebDom1+17,FebDom1+24)</f>
        <v>42788</v>
      </c>
      <c r="F7" s="27">
        <f>IF(DAY(FebDom1)=1,FebDom1+18,FebDom1+25)</f>
        <v>42789</v>
      </c>
      <c r="G7" s="10">
        <f>IF(DAY(FebDom1)=1,FebDom1+19,FebDom1+26)</f>
        <v>42790</v>
      </c>
      <c r="H7" s="10">
        <f>IF(DAY(FebDom1)=1,FebDom1+20,FebDom1+27)</f>
        <v>42791</v>
      </c>
      <c r="I7" s="10">
        <f>IF(DAY(FebDom1)=1,FebDom1+21,FebDom1+28)</f>
        <v>42792</v>
      </c>
      <c r="J7" s="5"/>
      <c r="K7" s="11"/>
      <c r="L7" s="17"/>
      <c r="M7" s="71"/>
      <c r="N7" s="72"/>
    </row>
    <row r="8" spans="1:14" ht="18.75" customHeight="1" x14ac:dyDescent="0.2">
      <c r="A8" s="4"/>
      <c r="B8" s="109"/>
      <c r="C8" s="10">
        <f>IF(DAY(FebDom1)=1,FebDom1+22,FebDom1+29)</f>
        <v>42793</v>
      </c>
      <c r="D8" s="10">
        <f>IF(DAY(FebDom1)=1,FebDom1+23,FebDom1+30)</f>
        <v>42794</v>
      </c>
      <c r="E8" s="10">
        <f>IF(DAY(FebDom1)=1,FebDom1+24,FebDom1+31)</f>
        <v>42795</v>
      </c>
      <c r="F8" s="10">
        <f>IF(DAY(FebDom1)=1,FebDom1+25,FebDom1+32)</f>
        <v>42796</v>
      </c>
      <c r="G8" s="10">
        <f>IF(DAY(FebDom1)=1,FebDom1+26,FebDom1+33)</f>
        <v>42797</v>
      </c>
      <c r="H8" s="10">
        <f>IF(DAY(FebDom1)=1,FebDom1+27,FebDom1+34)</f>
        <v>42798</v>
      </c>
      <c r="I8" s="10">
        <f>IF(DAY(FebDom1)=1,FebDom1+28,FebDom1+35)</f>
        <v>42799</v>
      </c>
      <c r="J8" s="5"/>
      <c r="K8" s="11"/>
      <c r="L8" s="17"/>
      <c r="M8" s="71"/>
      <c r="N8" s="72"/>
    </row>
    <row r="9" spans="1:14" ht="18" customHeight="1" x14ac:dyDescent="0.2">
      <c r="A9" s="4"/>
      <c r="B9" s="109"/>
      <c r="C9" s="10">
        <f>IF(DAY(FebDom1)=1,FebDom1+29,FebDom1+36)</f>
        <v>42800</v>
      </c>
      <c r="D9" s="10">
        <f>IF(DAY(FebDom1)=1,FebDom1+30,FebDom1+37)</f>
        <v>42801</v>
      </c>
      <c r="E9" s="10">
        <f>IF(DAY(FebDom1)=1,FebDom1+31,FebDom1+38)</f>
        <v>42802</v>
      </c>
      <c r="F9" s="10">
        <f>IF(DAY(FebDom1)=1,FebDom1+32,FebDom1+39)</f>
        <v>42803</v>
      </c>
      <c r="G9" s="10">
        <f>IF(DAY(FebDom1)=1,FebDom1+33,FebDom1+40)</f>
        <v>42804</v>
      </c>
      <c r="H9" s="10">
        <f>IF(DAY(FebDom1)=1,FebDom1+34,FebDom1+41)</f>
        <v>42805</v>
      </c>
      <c r="I9" s="10">
        <f>IF(DAY(FebDom1)=1,FebDom1+35,FebDom1+42)</f>
        <v>42806</v>
      </c>
      <c r="J9" s="5"/>
      <c r="K9" s="12"/>
      <c r="L9" s="18"/>
      <c r="M9" s="73"/>
      <c r="N9" s="74"/>
    </row>
    <row r="10" spans="1:14" ht="18" customHeight="1" x14ac:dyDescent="0.2">
      <c r="A10" s="4"/>
      <c r="B10" s="110"/>
      <c r="C10" s="23"/>
      <c r="D10" s="23"/>
      <c r="E10" s="23"/>
      <c r="F10" s="23"/>
      <c r="G10" s="23"/>
      <c r="H10" s="23"/>
      <c r="I10" s="23"/>
      <c r="J10" s="24"/>
      <c r="K10" s="77" t="s">
        <v>38</v>
      </c>
      <c r="L10" s="16"/>
      <c r="M10" s="75"/>
      <c r="N10" s="76"/>
    </row>
    <row r="11" spans="1:14" ht="18" customHeight="1" x14ac:dyDescent="0.2">
      <c r="A11" s="4"/>
      <c r="B11" s="111" t="s">
        <v>15</v>
      </c>
      <c r="C11" s="112"/>
      <c r="D11" s="112"/>
      <c r="E11" s="112"/>
      <c r="F11" s="112"/>
      <c r="G11" s="112"/>
      <c r="H11" s="112"/>
      <c r="I11" s="112"/>
      <c r="J11" s="113"/>
      <c r="K11" s="78"/>
      <c r="L11" s="17"/>
      <c r="M11" s="71"/>
      <c r="N11" s="72"/>
    </row>
    <row r="12" spans="1:14" ht="18" customHeight="1" x14ac:dyDescent="0.2">
      <c r="A12" s="4"/>
      <c r="B12" s="111"/>
      <c r="C12" s="112"/>
      <c r="D12" s="112"/>
      <c r="E12" s="112"/>
      <c r="F12" s="112"/>
      <c r="G12" s="112"/>
      <c r="H12" s="112"/>
      <c r="I12" s="112"/>
      <c r="J12" s="113"/>
      <c r="K12" s="78"/>
      <c r="L12" s="17"/>
      <c r="M12" s="71"/>
      <c r="N12" s="72"/>
    </row>
    <row r="13" spans="1:14" ht="18" customHeight="1" x14ac:dyDescent="0.2">
      <c r="B13" s="3" t="s">
        <v>16</v>
      </c>
      <c r="C13" s="79" t="s">
        <v>17</v>
      </c>
      <c r="D13" s="81"/>
      <c r="E13" s="79" t="s">
        <v>18</v>
      </c>
      <c r="F13" s="81"/>
      <c r="G13" s="79" t="s">
        <v>19</v>
      </c>
      <c r="H13" s="81"/>
      <c r="I13" s="79" t="s">
        <v>20</v>
      </c>
      <c r="J13" s="80"/>
      <c r="K13" s="11"/>
      <c r="L13" s="17"/>
      <c r="M13" s="71"/>
      <c r="N13" s="72"/>
    </row>
    <row r="14" spans="1:14" ht="18" customHeight="1" x14ac:dyDescent="0.25">
      <c r="B14" s="8"/>
      <c r="C14" s="93"/>
      <c r="D14" s="94"/>
      <c r="E14" s="93"/>
      <c r="F14" s="94"/>
      <c r="G14" s="120" t="s">
        <v>33</v>
      </c>
      <c r="H14" s="121"/>
      <c r="I14" s="93"/>
      <c r="J14" s="102"/>
      <c r="K14" s="11"/>
      <c r="L14" s="17"/>
      <c r="M14" s="71"/>
      <c r="N14" s="72"/>
    </row>
    <row r="15" spans="1:14" ht="18" customHeight="1" x14ac:dyDescent="0.25">
      <c r="B15" s="6"/>
      <c r="C15" s="91"/>
      <c r="D15" s="92"/>
      <c r="E15" s="91"/>
      <c r="F15" s="92"/>
      <c r="G15" s="120" t="s">
        <v>34</v>
      </c>
      <c r="H15" s="121"/>
      <c r="I15" s="99"/>
      <c r="J15" s="100"/>
      <c r="K15" s="13"/>
      <c r="L15" s="19"/>
      <c r="M15" s="73"/>
      <c r="N15" s="74"/>
    </row>
    <row r="16" spans="1:14" ht="18" customHeight="1" x14ac:dyDescent="0.25">
      <c r="B16" s="8"/>
      <c r="C16" s="93"/>
      <c r="D16" s="94"/>
      <c r="E16" s="93"/>
      <c r="F16" s="94"/>
      <c r="G16" s="120" t="s">
        <v>35</v>
      </c>
      <c r="H16" s="121"/>
      <c r="I16" s="103"/>
      <c r="J16" s="104"/>
      <c r="K16" s="69" t="s">
        <v>38</v>
      </c>
      <c r="L16" s="16"/>
      <c r="M16" s="75"/>
      <c r="N16" s="76"/>
    </row>
    <row r="17" spans="2:14" ht="18" customHeight="1" x14ac:dyDescent="0.25">
      <c r="B17" s="6"/>
      <c r="C17" s="91"/>
      <c r="D17" s="92"/>
      <c r="E17" s="91"/>
      <c r="F17" s="92"/>
      <c r="G17" s="120" t="s">
        <v>36</v>
      </c>
      <c r="H17" s="121"/>
      <c r="I17" s="99"/>
      <c r="J17" s="100"/>
      <c r="K17" s="70"/>
      <c r="L17" s="17"/>
      <c r="M17" s="71"/>
      <c r="N17" s="72"/>
    </row>
    <row r="18" spans="2:14" ht="18" customHeight="1" x14ac:dyDescent="0.2">
      <c r="B18" s="9"/>
      <c r="C18" s="95"/>
      <c r="D18" s="96"/>
      <c r="E18" s="95"/>
      <c r="F18" s="96"/>
      <c r="G18" s="95"/>
      <c r="H18" s="96"/>
      <c r="I18" s="95"/>
      <c r="J18" s="101"/>
      <c r="K18" s="70"/>
      <c r="L18" s="17"/>
      <c r="M18" s="71"/>
      <c r="N18" s="72"/>
    </row>
    <row r="19" spans="2:14" ht="18" customHeight="1" x14ac:dyDescent="0.2">
      <c r="B19" s="6"/>
      <c r="C19" s="91"/>
      <c r="D19" s="92"/>
      <c r="E19" s="91"/>
      <c r="F19" s="92"/>
      <c r="G19" s="91"/>
      <c r="H19" s="92"/>
      <c r="I19" s="99"/>
      <c r="J19" s="100"/>
      <c r="K19" s="11"/>
      <c r="L19" s="17"/>
      <c r="M19" s="71"/>
      <c r="N19" s="72"/>
    </row>
    <row r="20" spans="2:14" ht="18" customHeight="1" x14ac:dyDescent="0.2">
      <c r="B20" s="8"/>
      <c r="C20" s="93"/>
      <c r="D20" s="94"/>
      <c r="E20" s="93"/>
      <c r="F20" s="94"/>
      <c r="G20" s="93"/>
      <c r="H20" s="94"/>
      <c r="I20" s="93"/>
      <c r="J20" s="102"/>
      <c r="K20" s="11"/>
      <c r="L20" s="17"/>
      <c r="M20" s="71"/>
      <c r="N20" s="72"/>
    </row>
    <row r="21" spans="2:14" ht="18" customHeight="1" x14ac:dyDescent="0.2">
      <c r="B21" s="6"/>
      <c r="C21" s="91"/>
      <c r="D21" s="92"/>
      <c r="E21" s="91"/>
      <c r="F21" s="92"/>
      <c r="G21" s="91"/>
      <c r="H21" s="92"/>
      <c r="I21" s="105"/>
      <c r="J21" s="106"/>
      <c r="K21" s="13"/>
      <c r="L21" s="19"/>
      <c r="M21" s="73"/>
      <c r="N21" s="74"/>
    </row>
    <row r="22" spans="2:14" ht="18" customHeight="1" x14ac:dyDescent="0.2">
      <c r="B22" s="8"/>
      <c r="C22" s="93"/>
      <c r="D22" s="94"/>
      <c r="E22" s="93"/>
      <c r="F22" s="94"/>
      <c r="G22" s="93"/>
      <c r="H22" s="94"/>
      <c r="I22" s="93"/>
      <c r="J22" s="102"/>
      <c r="K22" s="69" t="s">
        <v>38</v>
      </c>
      <c r="L22" s="16"/>
      <c r="M22" s="75"/>
      <c r="N22" s="76"/>
    </row>
    <row r="23" spans="2:14" ht="18" customHeight="1" x14ac:dyDescent="0.2">
      <c r="B23" s="6"/>
      <c r="C23" s="91"/>
      <c r="D23" s="92"/>
      <c r="E23" s="91"/>
      <c r="F23" s="92"/>
      <c r="G23" s="91"/>
      <c r="H23" s="92"/>
      <c r="I23" s="99"/>
      <c r="J23" s="100"/>
      <c r="K23" s="70"/>
      <c r="L23" s="17"/>
      <c r="M23" s="71"/>
      <c r="N23" s="72"/>
    </row>
    <row r="24" spans="2:14" ht="18" customHeight="1" x14ac:dyDescent="0.2">
      <c r="B24" s="8"/>
      <c r="C24" s="93"/>
      <c r="D24" s="94"/>
      <c r="E24" s="93"/>
      <c r="F24" s="94"/>
      <c r="G24" s="93"/>
      <c r="H24" s="94"/>
      <c r="I24" s="93"/>
      <c r="J24" s="102"/>
      <c r="K24" s="70"/>
      <c r="L24" s="17"/>
      <c r="M24" s="71"/>
      <c r="N24" s="72"/>
    </row>
    <row r="25" spans="2:14" ht="18" customHeight="1" x14ac:dyDescent="0.2">
      <c r="B25" s="6"/>
      <c r="C25" s="91"/>
      <c r="D25" s="92"/>
      <c r="E25" s="91"/>
      <c r="F25" s="92"/>
      <c r="G25" s="91"/>
      <c r="H25" s="92"/>
      <c r="I25" s="99"/>
      <c r="J25" s="100"/>
      <c r="K25" s="70"/>
      <c r="L25" s="17"/>
      <c r="M25" s="71"/>
      <c r="N25" s="72"/>
    </row>
    <row r="26" spans="2:14" ht="18" customHeight="1" x14ac:dyDescent="0.2">
      <c r="B26" s="8"/>
      <c r="C26" s="93"/>
      <c r="D26" s="94"/>
      <c r="E26" s="93"/>
      <c r="F26" s="94"/>
      <c r="G26" s="93"/>
      <c r="H26" s="94"/>
      <c r="I26" s="93"/>
      <c r="J26" s="102"/>
      <c r="K26" s="11"/>
      <c r="L26" s="17"/>
      <c r="M26" s="71"/>
      <c r="N26" s="72"/>
    </row>
    <row r="27" spans="2:14" ht="18" customHeight="1" x14ac:dyDescent="0.2">
      <c r="B27" s="6"/>
      <c r="C27" s="91"/>
      <c r="D27" s="92"/>
      <c r="E27" s="91"/>
      <c r="F27" s="92"/>
      <c r="G27" s="91"/>
      <c r="H27" s="92"/>
      <c r="I27" s="99"/>
      <c r="J27" s="100"/>
      <c r="K27" s="13"/>
      <c r="L27" s="19"/>
      <c r="M27" s="73"/>
      <c r="N27" s="74"/>
    </row>
    <row r="28" spans="2:14" ht="18" customHeight="1" x14ac:dyDescent="0.2">
      <c r="B28" s="8"/>
      <c r="C28" s="93"/>
      <c r="D28" s="94"/>
      <c r="E28" s="93"/>
      <c r="F28" s="94"/>
      <c r="G28" s="93"/>
      <c r="H28" s="94"/>
      <c r="I28" s="93"/>
      <c r="J28" s="102"/>
      <c r="K28" s="77" t="s">
        <v>20</v>
      </c>
      <c r="L28" s="16"/>
      <c r="M28" s="75"/>
      <c r="N28" s="76"/>
    </row>
    <row r="29" spans="2:14" ht="18" customHeight="1" x14ac:dyDescent="0.2">
      <c r="B29" s="6"/>
      <c r="C29" s="91"/>
      <c r="D29" s="92"/>
      <c r="E29" s="91"/>
      <c r="F29" s="92"/>
      <c r="G29" s="91"/>
      <c r="H29" s="92"/>
      <c r="I29" s="91"/>
      <c r="J29" s="107"/>
      <c r="K29" s="78"/>
      <c r="L29" s="17"/>
      <c r="M29" s="71"/>
      <c r="N29" s="72"/>
    </row>
    <row r="30" spans="2:14" ht="18" customHeight="1" x14ac:dyDescent="0.2">
      <c r="B30" s="8"/>
      <c r="C30" s="93"/>
      <c r="D30" s="94"/>
      <c r="E30" s="93"/>
      <c r="F30" s="94"/>
      <c r="G30" s="93"/>
      <c r="H30" s="94"/>
      <c r="I30" s="116"/>
      <c r="J30" s="117"/>
      <c r="K30" s="78"/>
      <c r="L30" s="17"/>
      <c r="M30" s="71"/>
      <c r="N30" s="72"/>
    </row>
    <row r="31" spans="2:14" ht="18" customHeight="1" x14ac:dyDescent="0.2">
      <c r="B31" s="6"/>
      <c r="C31" s="91"/>
      <c r="D31" s="92"/>
      <c r="E31" s="91"/>
      <c r="F31" s="92"/>
      <c r="G31" s="91"/>
      <c r="H31" s="92"/>
      <c r="I31" s="91"/>
      <c r="J31" s="107"/>
      <c r="K31" s="14"/>
      <c r="L31" s="17"/>
      <c r="M31" s="71"/>
      <c r="N31" s="72"/>
    </row>
    <row r="32" spans="2:14" ht="18" customHeight="1" x14ac:dyDescent="0.2">
      <c r="B32" s="8"/>
      <c r="C32" s="93"/>
      <c r="D32" s="94"/>
      <c r="E32" s="93"/>
      <c r="F32" s="94"/>
      <c r="G32" s="93"/>
      <c r="H32" s="94"/>
      <c r="I32" s="103"/>
      <c r="J32" s="104"/>
      <c r="K32" s="14"/>
      <c r="L32" s="17"/>
      <c r="M32" s="71"/>
      <c r="N32" s="72"/>
    </row>
    <row r="33" spans="2:14" ht="18" customHeight="1" x14ac:dyDescent="0.2">
      <c r="B33" s="7"/>
      <c r="C33" s="97"/>
      <c r="D33" s="98"/>
      <c r="E33" s="97"/>
      <c r="F33" s="98"/>
      <c r="G33" s="97"/>
      <c r="H33" s="98"/>
      <c r="I33" s="118"/>
      <c r="J33" s="119"/>
      <c r="K33" s="15"/>
      <c r="L33" s="20"/>
      <c r="M33" s="114"/>
      <c r="N33" s="115"/>
    </row>
  </sheetData>
  <mergeCells count="121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5:N5"/>
    <mergeCell ref="M6:N6"/>
    <mergeCell ref="M7:N7"/>
    <mergeCell ref="M8:N8"/>
    <mergeCell ref="M9:N9"/>
    <mergeCell ref="K10:K12"/>
  </mergeCells>
  <conditionalFormatting sqref="C4:H4">
    <cfRule type="expression" dxfId="23" priority="3" stopIfTrue="1">
      <formula>DAY(C4)&gt;8</formula>
    </cfRule>
  </conditionalFormatting>
  <conditionalFormatting sqref="C8:I10">
    <cfRule type="expression" dxfId="22" priority="2" stopIfTrue="1">
      <formula>AND(DAY(C8)&gt;=1,DAY(C8)&lt;=15)</formula>
    </cfRule>
  </conditionalFormatting>
  <conditionalFormatting sqref="C4:I9">
    <cfRule type="expression" dxfId="21" priority="4">
      <formula>VLOOKUP(DAY(C4),DíasDeTareas,1,FALSE)=DAY(C4)</formula>
    </cfRule>
  </conditionalFormatting>
  <conditionalFormatting sqref="B14:J33">
    <cfRule type="expression" dxfId="20" priority="1">
      <formula>B14&lt;&gt;""</formula>
    </cfRule>
  </conditionalFormatting>
  <printOptions horizontalCentered="1"/>
  <pageMargins left="0.5" right="0.5" top="0.5" bottom="0.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zoomScaleNormal="100" zoomScalePageLayoutView="84" workbookViewId="0">
      <selection activeCell="F4" sqref="F4"/>
    </sheetView>
  </sheetViews>
  <sheetFormatPr baseColWidth="10"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>
      <c r="A1" s="2"/>
      <c r="B1" s="2"/>
      <c r="C1" s="2"/>
      <c r="D1" s="2"/>
      <c r="E1" s="2"/>
      <c r="F1" s="2"/>
      <c r="G1" s="2"/>
    </row>
    <row r="2" spans="1:14" ht="18" customHeight="1" x14ac:dyDescent="0.2">
      <c r="A2" s="4"/>
      <c r="B2" s="108" t="s">
        <v>29</v>
      </c>
      <c r="C2" s="21"/>
      <c r="D2" s="21"/>
      <c r="E2" s="21"/>
      <c r="F2" s="21"/>
      <c r="G2" s="21"/>
      <c r="H2" s="21"/>
      <c r="I2" s="21"/>
      <c r="J2" s="22"/>
      <c r="K2" s="82" t="s">
        <v>7</v>
      </c>
      <c r="L2" s="83">
        <v>2013</v>
      </c>
      <c r="M2" s="83"/>
      <c r="N2" s="25"/>
    </row>
    <row r="3" spans="1:14" ht="21" customHeight="1" x14ac:dyDescent="0.2">
      <c r="A3" s="4"/>
      <c r="B3" s="109"/>
      <c r="C3" s="2" t="s">
        <v>9</v>
      </c>
      <c r="D3" s="2" t="s">
        <v>1</v>
      </c>
      <c r="E3" s="2" t="s">
        <v>10</v>
      </c>
      <c r="F3" s="2" t="s">
        <v>11</v>
      </c>
      <c r="G3" s="2" t="s">
        <v>12</v>
      </c>
      <c r="H3" s="2" t="s">
        <v>0</v>
      </c>
      <c r="I3" s="2" t="s">
        <v>13</v>
      </c>
      <c r="J3" s="5"/>
      <c r="K3" s="84"/>
      <c r="L3" s="85"/>
      <c r="M3" s="85"/>
      <c r="N3" s="26"/>
    </row>
    <row r="4" spans="1:14" ht="18" customHeight="1" x14ac:dyDescent="0.2">
      <c r="A4" s="4"/>
      <c r="B4" s="109"/>
      <c r="C4" s="10">
        <f>IF(DAY(AgoDom1)=1,AgoDom1-6,AgoDom1+1)</f>
        <v>42947</v>
      </c>
      <c r="D4" s="10">
        <f>IF(DAY(AgoDom1)=1,AgoDom1-5,AgoDom1+2)</f>
        <v>42948</v>
      </c>
      <c r="E4" s="10">
        <f>IF(DAY(AgoDom1)=1,AgoDom1-4,AgoDom1+3)</f>
        <v>42949</v>
      </c>
      <c r="F4" s="10">
        <f>IF(DAY(AgoDom1)=1,AgoDom1-3,AgoDom1+4)</f>
        <v>42950</v>
      </c>
      <c r="G4" s="10">
        <f>IF(DAY(AgoDom1)=1,AgoDom1-2,AgoDom1+5)</f>
        <v>42951</v>
      </c>
      <c r="H4" s="10">
        <f>IF(DAY(AgoDom1)=1,AgoDom1-1,AgoDom1+6)</f>
        <v>42952</v>
      </c>
      <c r="I4" s="10">
        <f>IF(DAY(AgoDom1)=1,AgoDom1,AgoDom1+7)</f>
        <v>42953</v>
      </c>
      <c r="J4" s="5"/>
      <c r="K4" s="86" t="s">
        <v>16</v>
      </c>
      <c r="L4" s="16"/>
      <c r="M4" s="87"/>
      <c r="N4" s="88"/>
    </row>
    <row r="5" spans="1:14" ht="18" customHeight="1" x14ac:dyDescent="0.2">
      <c r="A5" s="4"/>
      <c r="B5" s="109"/>
      <c r="C5" s="10">
        <f>IF(DAY(AgoDom1)=1,AgoDom1+1,AgoDom1+8)</f>
        <v>42954</v>
      </c>
      <c r="D5" s="10">
        <f>IF(DAY(AgoDom1)=1,AgoDom1+2,AgoDom1+9)</f>
        <v>42955</v>
      </c>
      <c r="E5" s="10">
        <f>IF(DAY(AgoDom1)=1,AgoDom1+3,AgoDom1+10)</f>
        <v>42956</v>
      </c>
      <c r="F5" s="10">
        <f>IF(DAY(AgoDom1)=1,AgoDom1+4,AgoDom1+11)</f>
        <v>42957</v>
      </c>
      <c r="G5" s="10">
        <f>IF(DAY(AgoDom1)=1,AgoDom1+5,AgoDom1+12)</f>
        <v>42958</v>
      </c>
      <c r="H5" s="10">
        <f>IF(DAY(AgoDom1)=1,AgoDom1+6,AgoDom1+13)</f>
        <v>42959</v>
      </c>
      <c r="I5" s="10">
        <f>IF(DAY(AgoDom1)=1,AgoDom1+7,AgoDom1+14)</f>
        <v>42960</v>
      </c>
      <c r="J5" s="5"/>
      <c r="K5" s="78"/>
      <c r="L5" s="17"/>
      <c r="M5" s="71"/>
      <c r="N5" s="72"/>
    </row>
    <row r="6" spans="1:14" ht="18" customHeight="1" x14ac:dyDescent="0.2">
      <c r="A6" s="4"/>
      <c r="B6" s="109"/>
      <c r="C6" s="10">
        <f>IF(DAY(AgoDom1)=1,AgoDom1+8,AgoDom1+15)</f>
        <v>42961</v>
      </c>
      <c r="D6" s="10">
        <f>IF(DAY(AgoDom1)=1,AgoDom1+9,AgoDom1+16)</f>
        <v>42962</v>
      </c>
      <c r="E6" s="10">
        <f>IF(DAY(AgoDom1)=1,AgoDom1+10,AgoDom1+17)</f>
        <v>42963</v>
      </c>
      <c r="F6" s="10">
        <f>IF(DAY(AgoDom1)=1,AgoDom1+11,AgoDom1+18)</f>
        <v>42964</v>
      </c>
      <c r="G6" s="10">
        <f>IF(DAY(AgoDom1)=1,AgoDom1+12,AgoDom1+19)</f>
        <v>42965</v>
      </c>
      <c r="H6" s="10">
        <f>IF(DAY(AgoDom1)=1,AgoDom1+13,AgoDom1+20)</f>
        <v>42966</v>
      </c>
      <c r="I6" s="10">
        <f>IF(DAY(AgoDom1)=1,AgoDom1+14,AgoDom1+21)</f>
        <v>42967</v>
      </c>
      <c r="J6" s="5"/>
      <c r="K6" s="78"/>
      <c r="L6" s="17"/>
      <c r="M6" s="71"/>
      <c r="N6" s="72"/>
    </row>
    <row r="7" spans="1:14" ht="18" customHeight="1" x14ac:dyDescent="0.2">
      <c r="A7" s="4"/>
      <c r="B7" s="109"/>
      <c r="C7" s="10">
        <f>IF(DAY(AgoDom1)=1,AgoDom1+15,AgoDom1+22)</f>
        <v>42968</v>
      </c>
      <c r="D7" s="10">
        <f>IF(DAY(AgoDom1)=1,AgoDom1+16,AgoDom1+23)</f>
        <v>42969</v>
      </c>
      <c r="E7" s="10">
        <f>IF(DAY(AgoDom1)=1,AgoDom1+17,AgoDom1+24)</f>
        <v>42970</v>
      </c>
      <c r="F7" s="10">
        <f>IF(DAY(AgoDom1)=1,AgoDom1+18,AgoDom1+25)</f>
        <v>42971</v>
      </c>
      <c r="G7" s="10">
        <f>IF(DAY(AgoDom1)=1,AgoDom1+19,AgoDom1+26)</f>
        <v>42972</v>
      </c>
      <c r="H7" s="10">
        <f>IF(DAY(AgoDom1)=1,AgoDom1+20,AgoDom1+27)</f>
        <v>42973</v>
      </c>
      <c r="I7" s="10">
        <f>IF(DAY(AgoDom1)=1,AgoDom1+21,AgoDom1+28)</f>
        <v>42974</v>
      </c>
      <c r="J7" s="5"/>
      <c r="K7" s="11"/>
      <c r="L7" s="17"/>
      <c r="M7" s="71"/>
      <c r="N7" s="72"/>
    </row>
    <row r="8" spans="1:14" ht="18.75" customHeight="1" x14ac:dyDescent="0.2">
      <c r="A8" s="4"/>
      <c r="B8" s="109"/>
      <c r="C8" s="10">
        <f>IF(DAY(AgoDom1)=1,AgoDom1+22,AgoDom1+29)</f>
        <v>42975</v>
      </c>
      <c r="D8" s="10">
        <f>IF(DAY(AgoDom1)=1,AgoDom1+23,AgoDom1+30)</f>
        <v>42976</v>
      </c>
      <c r="E8" s="10">
        <f>IF(DAY(AgoDom1)=1,AgoDom1+24,AgoDom1+31)</f>
        <v>42977</v>
      </c>
      <c r="F8" s="10">
        <f>IF(DAY(AgoDom1)=1,AgoDom1+25,AgoDom1+32)</f>
        <v>42978</v>
      </c>
      <c r="G8" s="10">
        <f>IF(DAY(AgoDom1)=1,AgoDom1+26,AgoDom1+33)</f>
        <v>42979</v>
      </c>
      <c r="H8" s="10">
        <f>IF(DAY(AgoDom1)=1,AgoDom1+27,AgoDom1+34)</f>
        <v>42980</v>
      </c>
      <c r="I8" s="10">
        <f>IF(DAY(AgoDom1)=1,AgoDom1+28,AgoDom1+35)</f>
        <v>42981</v>
      </c>
      <c r="J8" s="5"/>
      <c r="K8" s="11"/>
      <c r="L8" s="17"/>
      <c r="M8" s="71"/>
      <c r="N8" s="72"/>
    </row>
    <row r="9" spans="1:14" ht="18" customHeight="1" x14ac:dyDescent="0.2">
      <c r="A9" s="4"/>
      <c r="B9" s="109"/>
      <c r="C9" s="10">
        <f>IF(DAY(AgoDom1)=1,AgoDom1+29,AgoDom1+36)</f>
        <v>42982</v>
      </c>
      <c r="D9" s="10">
        <f>IF(DAY(AgoDom1)=1,AgoDom1+30,AgoDom1+37)</f>
        <v>42983</v>
      </c>
      <c r="E9" s="10">
        <f>IF(DAY(AgoDom1)=1,AgoDom1+31,AgoDom1+38)</f>
        <v>42984</v>
      </c>
      <c r="F9" s="10">
        <f>IF(DAY(AgoDom1)=1,AgoDom1+32,AgoDom1+39)</f>
        <v>42985</v>
      </c>
      <c r="G9" s="10">
        <f>IF(DAY(AgoDom1)=1,AgoDom1+33,AgoDom1+40)</f>
        <v>42986</v>
      </c>
      <c r="H9" s="10">
        <f>IF(DAY(AgoDom1)=1,AgoDom1+34,AgoDom1+41)</f>
        <v>42987</v>
      </c>
      <c r="I9" s="10">
        <f>IF(DAY(AgoDom1)=1,AgoDom1+35,AgoDom1+42)</f>
        <v>42988</v>
      </c>
      <c r="J9" s="5"/>
      <c r="K9" s="12"/>
      <c r="L9" s="18"/>
      <c r="M9" s="73"/>
      <c r="N9" s="74"/>
    </row>
    <row r="10" spans="1:14" ht="18" customHeight="1" x14ac:dyDescent="0.2">
      <c r="A10" s="4"/>
      <c r="B10" s="110"/>
      <c r="C10" s="23"/>
      <c r="D10" s="23"/>
      <c r="E10" s="23"/>
      <c r="F10" s="23"/>
      <c r="G10" s="23"/>
      <c r="H10" s="23"/>
      <c r="I10" s="23"/>
      <c r="J10" s="24"/>
      <c r="K10" s="77" t="s">
        <v>17</v>
      </c>
      <c r="L10" s="16"/>
      <c r="M10" s="75"/>
      <c r="N10" s="76"/>
    </row>
    <row r="11" spans="1:14" ht="18" customHeight="1" x14ac:dyDescent="0.2">
      <c r="A11" s="4"/>
      <c r="B11" s="111" t="s">
        <v>15</v>
      </c>
      <c r="C11" s="112"/>
      <c r="D11" s="112"/>
      <c r="E11" s="112"/>
      <c r="F11" s="112"/>
      <c r="G11" s="112"/>
      <c r="H11" s="112"/>
      <c r="I11" s="112"/>
      <c r="J11" s="113"/>
      <c r="K11" s="78"/>
      <c r="L11" s="17"/>
      <c r="M11" s="71"/>
      <c r="N11" s="72"/>
    </row>
    <row r="12" spans="1:14" ht="18" customHeight="1" x14ac:dyDescent="0.2">
      <c r="A12" s="4"/>
      <c r="B12" s="111"/>
      <c r="C12" s="112"/>
      <c r="D12" s="112"/>
      <c r="E12" s="112"/>
      <c r="F12" s="112"/>
      <c r="G12" s="112"/>
      <c r="H12" s="112"/>
      <c r="I12" s="112"/>
      <c r="J12" s="113"/>
      <c r="K12" s="78"/>
      <c r="L12" s="17"/>
      <c r="M12" s="71"/>
      <c r="N12" s="72"/>
    </row>
    <row r="13" spans="1:14" ht="18" customHeight="1" x14ac:dyDescent="0.2">
      <c r="B13" s="3" t="s">
        <v>16</v>
      </c>
      <c r="C13" s="79" t="s">
        <v>17</v>
      </c>
      <c r="D13" s="81"/>
      <c r="E13" s="79" t="s">
        <v>18</v>
      </c>
      <c r="F13" s="81"/>
      <c r="G13" s="79" t="s">
        <v>19</v>
      </c>
      <c r="H13" s="81"/>
      <c r="I13" s="79" t="s">
        <v>20</v>
      </c>
      <c r="J13" s="80"/>
      <c r="K13" s="11"/>
      <c r="L13" s="17"/>
      <c r="M13" s="71"/>
      <c r="N13" s="72"/>
    </row>
    <row r="14" spans="1:14" ht="18" customHeight="1" x14ac:dyDescent="0.2">
      <c r="B14" s="8" t="s">
        <v>2</v>
      </c>
      <c r="C14" s="93"/>
      <c r="D14" s="94"/>
      <c r="E14" s="93" t="s">
        <v>2</v>
      </c>
      <c r="F14" s="94"/>
      <c r="G14" s="93"/>
      <c r="H14" s="94"/>
      <c r="I14" s="93" t="s">
        <v>2</v>
      </c>
      <c r="J14" s="102"/>
      <c r="K14" s="11"/>
      <c r="L14" s="17"/>
      <c r="M14" s="71"/>
      <c r="N14" s="72"/>
    </row>
    <row r="15" spans="1:14" ht="18" customHeight="1" x14ac:dyDescent="0.2">
      <c r="B15" s="6" t="s">
        <v>21</v>
      </c>
      <c r="C15" s="91"/>
      <c r="D15" s="92"/>
      <c r="E15" s="91" t="s">
        <v>21</v>
      </c>
      <c r="F15" s="92"/>
      <c r="G15" s="91"/>
      <c r="H15" s="92"/>
      <c r="I15" s="99" t="s">
        <v>21</v>
      </c>
      <c r="J15" s="100"/>
      <c r="K15" s="13"/>
      <c r="L15" s="19"/>
      <c r="M15" s="73"/>
      <c r="N15" s="74"/>
    </row>
    <row r="16" spans="1:14" ht="18" customHeight="1" x14ac:dyDescent="0.2">
      <c r="B16" s="8"/>
      <c r="C16" s="93" t="s">
        <v>3</v>
      </c>
      <c r="D16" s="94"/>
      <c r="E16" s="93"/>
      <c r="F16" s="94"/>
      <c r="G16" s="93" t="s">
        <v>3</v>
      </c>
      <c r="H16" s="94"/>
      <c r="I16" s="103"/>
      <c r="J16" s="104"/>
      <c r="K16" s="69" t="s">
        <v>18</v>
      </c>
      <c r="L16" s="16"/>
      <c r="M16" s="75"/>
      <c r="N16" s="76"/>
    </row>
    <row r="17" spans="2:14" ht="18" customHeight="1" x14ac:dyDescent="0.2">
      <c r="B17" s="6"/>
      <c r="C17" s="91" t="s">
        <v>22</v>
      </c>
      <c r="D17" s="92"/>
      <c r="E17" s="91"/>
      <c r="F17" s="92"/>
      <c r="G17" s="91" t="s">
        <v>22</v>
      </c>
      <c r="H17" s="92"/>
      <c r="I17" s="99"/>
      <c r="J17" s="100"/>
      <c r="K17" s="70"/>
      <c r="L17" s="17"/>
      <c r="M17" s="71"/>
      <c r="N17" s="72"/>
    </row>
    <row r="18" spans="2:14" ht="18" customHeight="1" x14ac:dyDescent="0.2">
      <c r="B18" s="9" t="s">
        <v>5</v>
      </c>
      <c r="C18" s="95"/>
      <c r="D18" s="96"/>
      <c r="E18" s="95" t="s">
        <v>5</v>
      </c>
      <c r="F18" s="96"/>
      <c r="G18" s="95"/>
      <c r="H18" s="96"/>
      <c r="I18" s="95" t="s">
        <v>5</v>
      </c>
      <c r="J18" s="101"/>
      <c r="K18" s="70"/>
      <c r="L18" s="17"/>
      <c r="M18" s="71"/>
      <c r="N18" s="72"/>
    </row>
    <row r="19" spans="2:14" ht="18" customHeight="1" x14ac:dyDescent="0.2">
      <c r="B19" s="6" t="s">
        <v>23</v>
      </c>
      <c r="C19" s="91"/>
      <c r="D19" s="92"/>
      <c r="E19" s="91" t="s">
        <v>23</v>
      </c>
      <c r="F19" s="92"/>
      <c r="G19" s="91"/>
      <c r="H19" s="92"/>
      <c r="I19" s="99" t="s">
        <v>23</v>
      </c>
      <c r="J19" s="100"/>
      <c r="K19" s="11"/>
      <c r="L19" s="17"/>
      <c r="M19" s="71"/>
      <c r="N19" s="72"/>
    </row>
    <row r="20" spans="2:14" ht="18" customHeight="1" x14ac:dyDescent="0.2">
      <c r="B20" s="8"/>
      <c r="C20" s="93"/>
      <c r="D20" s="94"/>
      <c r="E20" s="93"/>
      <c r="F20" s="94"/>
      <c r="G20" s="93"/>
      <c r="H20" s="94"/>
      <c r="I20" s="93"/>
      <c r="J20" s="102"/>
      <c r="K20" s="11"/>
      <c r="L20" s="17"/>
      <c r="M20" s="71"/>
      <c r="N20" s="72"/>
    </row>
    <row r="21" spans="2:14" ht="18" customHeight="1" x14ac:dyDescent="0.2">
      <c r="B21" s="6"/>
      <c r="C21" s="91"/>
      <c r="D21" s="92"/>
      <c r="E21" s="91"/>
      <c r="F21" s="92"/>
      <c r="G21" s="91"/>
      <c r="H21" s="92"/>
      <c r="I21" s="105"/>
      <c r="J21" s="106"/>
      <c r="K21" s="13"/>
      <c r="L21" s="19"/>
      <c r="M21" s="73"/>
      <c r="N21" s="74"/>
    </row>
    <row r="22" spans="2:14" ht="18" customHeight="1" x14ac:dyDescent="0.2">
      <c r="B22" s="8"/>
      <c r="C22" s="93"/>
      <c r="D22" s="94"/>
      <c r="E22" s="93"/>
      <c r="F22" s="94"/>
      <c r="G22" s="93"/>
      <c r="H22" s="94"/>
      <c r="I22" s="93"/>
      <c r="J22" s="102"/>
      <c r="K22" s="69" t="s">
        <v>19</v>
      </c>
      <c r="L22" s="16"/>
      <c r="M22" s="75"/>
      <c r="N22" s="76"/>
    </row>
    <row r="23" spans="2:14" ht="18" customHeight="1" x14ac:dyDescent="0.2">
      <c r="B23" s="6"/>
      <c r="C23" s="91"/>
      <c r="D23" s="92"/>
      <c r="E23" s="91"/>
      <c r="F23" s="92"/>
      <c r="G23" s="91"/>
      <c r="H23" s="92"/>
      <c r="I23" s="99"/>
      <c r="J23" s="100"/>
      <c r="K23" s="70"/>
      <c r="L23" s="17"/>
      <c r="M23" s="71"/>
      <c r="N23" s="72"/>
    </row>
    <row r="24" spans="2:14" ht="18" customHeight="1" x14ac:dyDescent="0.2">
      <c r="B24" s="8"/>
      <c r="C24" s="93"/>
      <c r="D24" s="94"/>
      <c r="E24" s="93"/>
      <c r="F24" s="94"/>
      <c r="G24" s="93"/>
      <c r="H24" s="94"/>
      <c r="I24" s="93"/>
      <c r="J24" s="102"/>
      <c r="K24" s="70"/>
      <c r="L24" s="17"/>
      <c r="M24" s="71"/>
      <c r="N24" s="72"/>
    </row>
    <row r="25" spans="2:14" ht="18" customHeight="1" x14ac:dyDescent="0.2">
      <c r="B25" s="6"/>
      <c r="C25" s="91"/>
      <c r="D25" s="92"/>
      <c r="E25" s="91"/>
      <c r="F25" s="92"/>
      <c r="G25" s="91"/>
      <c r="H25" s="92"/>
      <c r="I25" s="99"/>
      <c r="J25" s="100"/>
      <c r="K25" s="70"/>
      <c r="L25" s="17"/>
      <c r="M25" s="71"/>
      <c r="N25" s="72"/>
    </row>
    <row r="26" spans="2:14" ht="18" customHeight="1" x14ac:dyDescent="0.2">
      <c r="B26" s="8" t="s">
        <v>4</v>
      </c>
      <c r="C26" s="93"/>
      <c r="D26" s="94"/>
      <c r="E26" s="93" t="s">
        <v>4</v>
      </c>
      <c r="F26" s="94"/>
      <c r="G26" s="93"/>
      <c r="H26" s="94"/>
      <c r="I26" s="93" t="s">
        <v>4</v>
      </c>
      <c r="J26" s="102"/>
      <c r="K26" s="11"/>
      <c r="L26" s="17"/>
      <c r="M26" s="71"/>
      <c r="N26" s="72"/>
    </row>
    <row r="27" spans="2:14" ht="18" customHeight="1" x14ac:dyDescent="0.2">
      <c r="B27" s="6" t="s">
        <v>24</v>
      </c>
      <c r="C27" s="91"/>
      <c r="D27" s="92"/>
      <c r="E27" s="91" t="s">
        <v>24</v>
      </c>
      <c r="F27" s="92"/>
      <c r="G27" s="91"/>
      <c r="H27" s="92"/>
      <c r="I27" s="99" t="s">
        <v>24</v>
      </c>
      <c r="J27" s="100"/>
      <c r="K27" s="13"/>
      <c r="L27" s="19"/>
      <c r="M27" s="73"/>
      <c r="N27" s="74"/>
    </row>
    <row r="28" spans="2:14" ht="18" customHeight="1" x14ac:dyDescent="0.2">
      <c r="B28" s="8"/>
      <c r="C28" s="93"/>
      <c r="D28" s="94"/>
      <c r="E28" s="93"/>
      <c r="F28" s="94"/>
      <c r="G28" s="93"/>
      <c r="H28" s="94"/>
      <c r="I28" s="93"/>
      <c r="J28" s="102"/>
      <c r="K28" s="77" t="s">
        <v>20</v>
      </c>
      <c r="L28" s="16"/>
      <c r="M28" s="75"/>
      <c r="N28" s="76"/>
    </row>
    <row r="29" spans="2:14" ht="18" customHeight="1" x14ac:dyDescent="0.2">
      <c r="B29" s="6"/>
      <c r="C29" s="91"/>
      <c r="D29" s="92"/>
      <c r="E29" s="91"/>
      <c r="F29" s="92"/>
      <c r="G29" s="91"/>
      <c r="H29" s="92"/>
      <c r="I29" s="91"/>
      <c r="J29" s="107"/>
      <c r="K29" s="78"/>
      <c r="L29" s="17"/>
      <c r="M29" s="71"/>
      <c r="N29" s="72"/>
    </row>
    <row r="30" spans="2:14" ht="18" customHeight="1" x14ac:dyDescent="0.2">
      <c r="B30" s="8"/>
      <c r="C30" s="93" t="s">
        <v>6</v>
      </c>
      <c r="D30" s="94"/>
      <c r="E30" s="93"/>
      <c r="F30" s="94"/>
      <c r="G30" s="93" t="s">
        <v>6</v>
      </c>
      <c r="H30" s="94"/>
      <c r="I30" s="116"/>
      <c r="J30" s="117"/>
      <c r="K30" s="78"/>
      <c r="L30" s="17"/>
      <c r="M30" s="71"/>
      <c r="N30" s="72"/>
    </row>
    <row r="31" spans="2:14" ht="18" customHeight="1" x14ac:dyDescent="0.2">
      <c r="B31" s="6"/>
      <c r="C31" s="91" t="s">
        <v>25</v>
      </c>
      <c r="D31" s="92"/>
      <c r="E31" s="91"/>
      <c r="F31" s="92"/>
      <c r="G31" s="91" t="s">
        <v>25</v>
      </c>
      <c r="H31" s="92"/>
      <c r="I31" s="91"/>
      <c r="J31" s="107"/>
      <c r="K31" s="14"/>
      <c r="L31" s="17"/>
      <c r="M31" s="71"/>
      <c r="N31" s="72"/>
    </row>
    <row r="32" spans="2:14" ht="18" customHeight="1" x14ac:dyDescent="0.2">
      <c r="B32" s="8"/>
      <c r="C32" s="93"/>
      <c r="D32" s="94"/>
      <c r="E32" s="93"/>
      <c r="F32" s="94"/>
      <c r="G32" s="93"/>
      <c r="H32" s="94"/>
      <c r="I32" s="103"/>
      <c r="J32" s="104"/>
      <c r="K32" s="14"/>
      <c r="L32" s="17"/>
      <c r="M32" s="71"/>
      <c r="N32" s="72"/>
    </row>
    <row r="33" spans="2:14" ht="18" customHeight="1" x14ac:dyDescent="0.2">
      <c r="B33" s="7"/>
      <c r="C33" s="97"/>
      <c r="D33" s="98"/>
      <c r="E33" s="97"/>
      <c r="F33" s="98"/>
      <c r="G33" s="97"/>
      <c r="H33" s="98"/>
      <c r="I33" s="118"/>
      <c r="J33" s="119"/>
      <c r="K33" s="15"/>
      <c r="L33" s="20"/>
      <c r="M33" s="114"/>
      <c r="N33" s="115"/>
    </row>
  </sheetData>
  <mergeCells count="122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</mergeCells>
  <conditionalFormatting sqref="C4:H4">
    <cfRule type="expression" dxfId="19" priority="3" stopIfTrue="1">
      <formula>DAY(C4)&gt;8</formula>
    </cfRule>
  </conditionalFormatting>
  <conditionalFormatting sqref="C8:I10">
    <cfRule type="expression" dxfId="18" priority="2" stopIfTrue="1">
      <formula>AND(DAY(C8)&gt;=1,DAY(C8)&lt;=15)</formula>
    </cfRule>
  </conditionalFormatting>
  <conditionalFormatting sqref="C4:I9">
    <cfRule type="expression" dxfId="17" priority="4">
      <formula>VLOOKUP(DAY(C4),DíasDeTareas,1,FALSE)=DAY(C4)</formula>
    </cfRule>
  </conditionalFormatting>
  <conditionalFormatting sqref="B14:J33">
    <cfRule type="expression" dxfId="16" priority="1">
      <formula>B14&lt;&gt;""</formula>
    </cfRule>
  </conditionalFormatting>
  <printOptions horizontalCentered="1"/>
  <pageMargins left="0.5" right="0.5" top="0.5" bottom="0.5" header="0.3" footer="0.3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zoomScaleNormal="100" zoomScalePageLayoutView="84" workbookViewId="0">
      <selection activeCell="K2" sqref="K2:M3"/>
    </sheetView>
  </sheetViews>
  <sheetFormatPr baseColWidth="10"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108" t="s">
        <v>28</v>
      </c>
      <c r="C2" s="21"/>
      <c r="D2" s="21"/>
      <c r="E2" s="21"/>
      <c r="F2" s="21"/>
      <c r="G2" s="21"/>
      <c r="H2" s="21"/>
      <c r="I2" s="21"/>
      <c r="J2" s="22"/>
      <c r="K2" s="82" t="s">
        <v>7</v>
      </c>
      <c r="L2" s="83">
        <v>2013</v>
      </c>
      <c r="M2" s="83"/>
      <c r="N2" s="25"/>
    </row>
    <row r="3" spans="1:14" ht="21" customHeight="1" x14ac:dyDescent="0.2">
      <c r="A3" s="4"/>
      <c r="B3" s="109"/>
      <c r="C3" s="2" t="s">
        <v>9</v>
      </c>
      <c r="D3" s="2" t="s">
        <v>1</v>
      </c>
      <c r="E3" s="2" t="s">
        <v>10</v>
      </c>
      <c r="F3" s="2" t="s">
        <v>11</v>
      </c>
      <c r="G3" s="2" t="s">
        <v>12</v>
      </c>
      <c r="H3" s="2" t="s">
        <v>0</v>
      </c>
      <c r="I3" s="2" t="s">
        <v>13</v>
      </c>
      <c r="J3" s="5"/>
      <c r="K3" s="84"/>
      <c r="L3" s="85"/>
      <c r="M3" s="85"/>
      <c r="N3" s="26"/>
    </row>
    <row r="4" spans="1:14" ht="18" customHeight="1" x14ac:dyDescent="0.2">
      <c r="A4" s="4"/>
      <c r="B4" s="109"/>
      <c r="C4" s="10">
        <f>IF(DAY(SepDom1)=1,SepDom1-6,SepDom1+1)</f>
        <v>42975</v>
      </c>
      <c r="D4" s="10">
        <f>IF(DAY(SepDom1)=1,SepDom1-5,SepDom1+2)</f>
        <v>42976</v>
      </c>
      <c r="E4" s="10">
        <f>IF(DAY(SepDom1)=1,SepDom1-4,SepDom1+3)</f>
        <v>42977</v>
      </c>
      <c r="F4" s="10">
        <f>IF(DAY(SepDom1)=1,SepDom1-3,SepDom1+4)</f>
        <v>42978</v>
      </c>
      <c r="G4" s="10">
        <f>IF(DAY(SepDom1)=1,SepDom1-2,SepDom1+5)</f>
        <v>42979</v>
      </c>
      <c r="H4" s="10">
        <f>IF(DAY(SepDom1)=1,SepDom1-1,SepDom1+6)</f>
        <v>42980</v>
      </c>
      <c r="I4" s="10">
        <f>IF(DAY(SepDom1)=1,SepDom1,SepDom1+7)</f>
        <v>42981</v>
      </c>
      <c r="J4" s="5"/>
      <c r="K4" s="86" t="s">
        <v>16</v>
      </c>
      <c r="L4" s="16"/>
      <c r="M4" s="87"/>
      <c r="N4" s="88"/>
    </row>
    <row r="5" spans="1:14" ht="18" customHeight="1" x14ac:dyDescent="0.2">
      <c r="A5" s="4"/>
      <c r="B5" s="109"/>
      <c r="C5" s="10">
        <f>IF(DAY(SepDom1)=1,SepDom1+1,SepDom1+8)</f>
        <v>42982</v>
      </c>
      <c r="D5" s="10">
        <f>IF(DAY(SepDom1)=1,SepDom1+2,SepDom1+9)</f>
        <v>42983</v>
      </c>
      <c r="E5" s="10">
        <f>IF(DAY(SepDom1)=1,SepDom1+3,SepDom1+10)</f>
        <v>42984</v>
      </c>
      <c r="F5" s="10">
        <f>IF(DAY(SepDom1)=1,SepDom1+4,SepDom1+11)</f>
        <v>42985</v>
      </c>
      <c r="G5" s="10">
        <f>IF(DAY(SepDom1)=1,SepDom1+5,SepDom1+12)</f>
        <v>42986</v>
      </c>
      <c r="H5" s="10">
        <f>IF(DAY(SepDom1)=1,SepDom1+6,SepDom1+13)</f>
        <v>42987</v>
      </c>
      <c r="I5" s="10">
        <f>IF(DAY(SepDom1)=1,SepDom1+7,SepDom1+14)</f>
        <v>42988</v>
      </c>
      <c r="J5" s="5"/>
      <c r="K5" s="78"/>
      <c r="L5" s="17"/>
      <c r="M5" s="71"/>
      <c r="N5" s="72"/>
    </row>
    <row r="6" spans="1:14" ht="18" customHeight="1" x14ac:dyDescent="0.2">
      <c r="A6" s="4"/>
      <c r="B6" s="109"/>
      <c r="C6" s="10">
        <f>IF(DAY(SepDom1)=1,SepDom1+8,SepDom1+15)</f>
        <v>42989</v>
      </c>
      <c r="D6" s="10">
        <f>IF(DAY(SepDom1)=1,SepDom1+9,SepDom1+16)</f>
        <v>42990</v>
      </c>
      <c r="E6" s="10">
        <f>IF(DAY(SepDom1)=1,SepDom1+10,SepDom1+17)</f>
        <v>42991</v>
      </c>
      <c r="F6" s="10">
        <f>IF(DAY(SepDom1)=1,SepDom1+11,SepDom1+18)</f>
        <v>42992</v>
      </c>
      <c r="G6" s="10">
        <f>IF(DAY(SepDom1)=1,SepDom1+12,SepDom1+19)</f>
        <v>42993</v>
      </c>
      <c r="H6" s="10">
        <f>IF(DAY(SepDom1)=1,SepDom1+13,SepDom1+20)</f>
        <v>42994</v>
      </c>
      <c r="I6" s="10">
        <f>IF(DAY(SepDom1)=1,SepDom1+14,SepDom1+21)</f>
        <v>42995</v>
      </c>
      <c r="J6" s="5"/>
      <c r="K6" s="78"/>
      <c r="L6" s="17"/>
      <c r="M6" s="71"/>
      <c r="N6" s="72"/>
    </row>
    <row r="7" spans="1:14" ht="18" customHeight="1" x14ac:dyDescent="0.2">
      <c r="A7" s="4"/>
      <c r="B7" s="109"/>
      <c r="C7" s="10">
        <f>IF(DAY(SepDom1)=1,SepDom1+15,SepDom1+22)</f>
        <v>42996</v>
      </c>
      <c r="D7" s="10">
        <f>IF(DAY(SepDom1)=1,SepDom1+16,SepDom1+23)</f>
        <v>42997</v>
      </c>
      <c r="E7" s="10">
        <f>IF(DAY(SepDom1)=1,SepDom1+17,SepDom1+24)</f>
        <v>42998</v>
      </c>
      <c r="F7" s="10">
        <f>IF(DAY(SepDom1)=1,SepDom1+18,SepDom1+25)</f>
        <v>42999</v>
      </c>
      <c r="G7" s="10">
        <f>IF(DAY(SepDom1)=1,SepDom1+19,SepDom1+26)</f>
        <v>43000</v>
      </c>
      <c r="H7" s="10">
        <f>IF(DAY(SepDom1)=1,SepDom1+20,SepDom1+27)</f>
        <v>43001</v>
      </c>
      <c r="I7" s="10">
        <f>IF(DAY(SepDom1)=1,SepDom1+21,SepDom1+28)</f>
        <v>43002</v>
      </c>
      <c r="J7" s="5"/>
      <c r="K7" s="11"/>
      <c r="L7" s="17"/>
      <c r="M7" s="71"/>
      <c r="N7" s="72"/>
    </row>
    <row r="8" spans="1:14" ht="18.75" customHeight="1" x14ac:dyDescent="0.2">
      <c r="A8" s="4"/>
      <c r="B8" s="109"/>
      <c r="C8" s="10">
        <f>IF(DAY(SepDom1)=1,SepDom1+22,SepDom1+29)</f>
        <v>43003</v>
      </c>
      <c r="D8" s="10">
        <f>IF(DAY(SepDom1)=1,SepDom1+23,SepDom1+30)</f>
        <v>43004</v>
      </c>
      <c r="E8" s="10">
        <f>IF(DAY(SepDom1)=1,SepDom1+24,SepDom1+31)</f>
        <v>43005</v>
      </c>
      <c r="F8" s="10">
        <f>IF(DAY(SepDom1)=1,SepDom1+25,SepDom1+32)</f>
        <v>43006</v>
      </c>
      <c r="G8" s="10">
        <f>IF(DAY(SepDom1)=1,SepDom1+26,SepDom1+33)</f>
        <v>43007</v>
      </c>
      <c r="H8" s="10">
        <f>IF(DAY(SepDom1)=1,SepDom1+27,SepDom1+34)</f>
        <v>43008</v>
      </c>
      <c r="I8" s="10">
        <f>IF(DAY(SepDom1)=1,SepDom1+28,SepDom1+35)</f>
        <v>43009</v>
      </c>
      <c r="J8" s="5"/>
      <c r="K8" s="11"/>
      <c r="L8" s="17"/>
      <c r="M8" s="71"/>
      <c r="N8" s="72"/>
    </row>
    <row r="9" spans="1:14" ht="18" customHeight="1" x14ac:dyDescent="0.2">
      <c r="A9" s="4"/>
      <c r="B9" s="109"/>
      <c r="C9" s="10">
        <f>IF(DAY(SepDom1)=1,SepDom1+29,SepDom1+36)</f>
        <v>43010</v>
      </c>
      <c r="D9" s="10">
        <f>IF(DAY(SepDom1)=1,SepDom1+30,SepDom1+37)</f>
        <v>43011</v>
      </c>
      <c r="E9" s="10">
        <f>IF(DAY(SepDom1)=1,SepDom1+31,SepDom1+38)</f>
        <v>43012</v>
      </c>
      <c r="F9" s="10">
        <f>IF(DAY(SepDom1)=1,SepDom1+32,SepDom1+39)</f>
        <v>43013</v>
      </c>
      <c r="G9" s="10">
        <f>IF(DAY(SepDom1)=1,SepDom1+33,SepDom1+40)</f>
        <v>43014</v>
      </c>
      <c r="H9" s="10">
        <f>IF(DAY(SepDom1)=1,SepDom1+34,SepDom1+41)</f>
        <v>43015</v>
      </c>
      <c r="I9" s="10">
        <f>IF(DAY(SepDom1)=1,SepDom1+35,SepDom1+42)</f>
        <v>43016</v>
      </c>
      <c r="J9" s="5"/>
      <c r="K9" s="12"/>
      <c r="L9" s="18"/>
      <c r="M9" s="73"/>
      <c r="N9" s="74"/>
    </row>
    <row r="10" spans="1:14" ht="18" customHeight="1" x14ac:dyDescent="0.2">
      <c r="A10" s="4"/>
      <c r="B10" s="110"/>
      <c r="C10" s="23"/>
      <c r="D10" s="23"/>
      <c r="E10" s="23"/>
      <c r="F10" s="23"/>
      <c r="G10" s="23"/>
      <c r="H10" s="23"/>
      <c r="I10" s="23"/>
      <c r="J10" s="24"/>
      <c r="K10" s="77" t="s">
        <v>17</v>
      </c>
      <c r="L10" s="16"/>
      <c r="M10" s="75"/>
      <c r="N10" s="76"/>
    </row>
    <row r="11" spans="1:14" ht="18" customHeight="1" x14ac:dyDescent="0.2">
      <c r="A11" s="4"/>
      <c r="B11" s="111" t="s">
        <v>15</v>
      </c>
      <c r="C11" s="112"/>
      <c r="D11" s="112"/>
      <c r="E11" s="112"/>
      <c r="F11" s="112"/>
      <c r="G11" s="112"/>
      <c r="H11" s="112"/>
      <c r="I11" s="112"/>
      <c r="J11" s="113"/>
      <c r="K11" s="78"/>
      <c r="L11" s="17"/>
      <c r="M11" s="71"/>
      <c r="N11" s="72"/>
    </row>
    <row r="12" spans="1:14" ht="18" customHeight="1" x14ac:dyDescent="0.2">
      <c r="A12" s="4"/>
      <c r="B12" s="111"/>
      <c r="C12" s="112"/>
      <c r="D12" s="112"/>
      <c r="E12" s="112"/>
      <c r="F12" s="112"/>
      <c r="G12" s="112"/>
      <c r="H12" s="112"/>
      <c r="I12" s="112"/>
      <c r="J12" s="113"/>
      <c r="K12" s="78"/>
      <c r="L12" s="17"/>
      <c r="M12" s="71"/>
      <c r="N12" s="72"/>
    </row>
    <row r="13" spans="1:14" ht="18" customHeight="1" x14ac:dyDescent="0.2">
      <c r="B13" s="3" t="s">
        <v>16</v>
      </c>
      <c r="C13" s="79" t="s">
        <v>17</v>
      </c>
      <c r="D13" s="81"/>
      <c r="E13" s="79" t="s">
        <v>18</v>
      </c>
      <c r="F13" s="81"/>
      <c r="G13" s="79" t="s">
        <v>19</v>
      </c>
      <c r="H13" s="81"/>
      <c r="I13" s="79" t="s">
        <v>20</v>
      </c>
      <c r="J13" s="80"/>
      <c r="K13" s="11"/>
      <c r="L13" s="17"/>
      <c r="M13" s="71"/>
      <c r="N13" s="72"/>
    </row>
    <row r="14" spans="1:14" ht="18" customHeight="1" x14ac:dyDescent="0.2">
      <c r="B14" s="8" t="s">
        <v>2</v>
      </c>
      <c r="C14" s="93"/>
      <c r="D14" s="94"/>
      <c r="E14" s="93" t="s">
        <v>2</v>
      </c>
      <c r="F14" s="94"/>
      <c r="G14" s="93"/>
      <c r="H14" s="94"/>
      <c r="I14" s="93" t="s">
        <v>2</v>
      </c>
      <c r="J14" s="102"/>
      <c r="K14" s="11"/>
      <c r="L14" s="17"/>
      <c r="M14" s="71"/>
      <c r="N14" s="72"/>
    </row>
    <row r="15" spans="1:14" ht="18" customHeight="1" x14ac:dyDescent="0.2">
      <c r="B15" s="6" t="s">
        <v>21</v>
      </c>
      <c r="C15" s="91"/>
      <c r="D15" s="92"/>
      <c r="E15" s="91" t="s">
        <v>21</v>
      </c>
      <c r="F15" s="92"/>
      <c r="G15" s="91"/>
      <c r="H15" s="92"/>
      <c r="I15" s="99" t="s">
        <v>21</v>
      </c>
      <c r="J15" s="100"/>
      <c r="K15" s="13"/>
      <c r="L15" s="19"/>
      <c r="M15" s="73"/>
      <c r="N15" s="74"/>
    </row>
    <row r="16" spans="1:14" ht="18" customHeight="1" x14ac:dyDescent="0.2">
      <c r="B16" s="8"/>
      <c r="C16" s="93" t="s">
        <v>3</v>
      </c>
      <c r="D16" s="94"/>
      <c r="E16" s="93"/>
      <c r="F16" s="94"/>
      <c r="G16" s="93" t="s">
        <v>3</v>
      </c>
      <c r="H16" s="94"/>
      <c r="I16" s="103"/>
      <c r="J16" s="104"/>
      <c r="K16" s="69" t="s">
        <v>18</v>
      </c>
      <c r="L16" s="16"/>
      <c r="M16" s="75"/>
      <c r="N16" s="76"/>
    </row>
    <row r="17" spans="2:14" ht="18" customHeight="1" x14ac:dyDescent="0.2">
      <c r="B17" s="6"/>
      <c r="C17" s="91" t="s">
        <v>22</v>
      </c>
      <c r="D17" s="92"/>
      <c r="E17" s="91"/>
      <c r="F17" s="92"/>
      <c r="G17" s="91" t="s">
        <v>22</v>
      </c>
      <c r="H17" s="92"/>
      <c r="I17" s="99"/>
      <c r="J17" s="100"/>
      <c r="K17" s="70"/>
      <c r="L17" s="17"/>
      <c r="M17" s="71"/>
      <c r="N17" s="72"/>
    </row>
    <row r="18" spans="2:14" ht="18" customHeight="1" x14ac:dyDescent="0.2">
      <c r="B18" s="9" t="s">
        <v>5</v>
      </c>
      <c r="C18" s="95"/>
      <c r="D18" s="96"/>
      <c r="E18" s="95" t="s">
        <v>5</v>
      </c>
      <c r="F18" s="96"/>
      <c r="G18" s="95"/>
      <c r="H18" s="96"/>
      <c r="I18" s="95" t="s">
        <v>5</v>
      </c>
      <c r="J18" s="101"/>
      <c r="K18" s="70"/>
      <c r="L18" s="17"/>
      <c r="M18" s="71"/>
      <c r="N18" s="72"/>
    </row>
    <row r="19" spans="2:14" ht="18" customHeight="1" x14ac:dyDescent="0.2">
      <c r="B19" s="6" t="s">
        <v>23</v>
      </c>
      <c r="C19" s="91"/>
      <c r="D19" s="92"/>
      <c r="E19" s="91" t="s">
        <v>23</v>
      </c>
      <c r="F19" s="92"/>
      <c r="G19" s="91"/>
      <c r="H19" s="92"/>
      <c r="I19" s="99" t="s">
        <v>23</v>
      </c>
      <c r="J19" s="100"/>
      <c r="K19" s="11"/>
      <c r="L19" s="17"/>
      <c r="M19" s="71"/>
      <c r="N19" s="72"/>
    </row>
    <row r="20" spans="2:14" ht="18" customHeight="1" x14ac:dyDescent="0.2">
      <c r="B20" s="8"/>
      <c r="C20" s="93"/>
      <c r="D20" s="94"/>
      <c r="E20" s="93"/>
      <c r="F20" s="94"/>
      <c r="G20" s="93"/>
      <c r="H20" s="94"/>
      <c r="I20" s="93"/>
      <c r="J20" s="102"/>
      <c r="K20" s="11"/>
      <c r="L20" s="17"/>
      <c r="M20" s="71"/>
      <c r="N20" s="72"/>
    </row>
    <row r="21" spans="2:14" ht="18" customHeight="1" x14ac:dyDescent="0.2">
      <c r="B21" s="6"/>
      <c r="C21" s="91"/>
      <c r="D21" s="92"/>
      <c r="E21" s="91"/>
      <c r="F21" s="92"/>
      <c r="G21" s="91"/>
      <c r="H21" s="92"/>
      <c r="I21" s="105"/>
      <c r="J21" s="106"/>
      <c r="K21" s="13"/>
      <c r="L21" s="19"/>
      <c r="M21" s="73"/>
      <c r="N21" s="74"/>
    </row>
    <row r="22" spans="2:14" ht="18" customHeight="1" x14ac:dyDescent="0.2">
      <c r="B22" s="8"/>
      <c r="C22" s="93"/>
      <c r="D22" s="94"/>
      <c r="E22" s="93"/>
      <c r="F22" s="94"/>
      <c r="G22" s="93"/>
      <c r="H22" s="94"/>
      <c r="I22" s="93"/>
      <c r="J22" s="102"/>
      <c r="K22" s="69" t="s">
        <v>19</v>
      </c>
      <c r="L22" s="16"/>
      <c r="M22" s="75"/>
      <c r="N22" s="76"/>
    </row>
    <row r="23" spans="2:14" ht="18" customHeight="1" x14ac:dyDescent="0.2">
      <c r="B23" s="6"/>
      <c r="C23" s="91"/>
      <c r="D23" s="92"/>
      <c r="E23" s="91"/>
      <c r="F23" s="92"/>
      <c r="G23" s="91"/>
      <c r="H23" s="92"/>
      <c r="I23" s="99"/>
      <c r="J23" s="100"/>
      <c r="K23" s="70"/>
      <c r="L23" s="17"/>
      <c r="M23" s="71"/>
      <c r="N23" s="72"/>
    </row>
    <row r="24" spans="2:14" ht="18" customHeight="1" x14ac:dyDescent="0.2">
      <c r="B24" s="8"/>
      <c r="C24" s="93"/>
      <c r="D24" s="94"/>
      <c r="E24" s="93"/>
      <c r="F24" s="94"/>
      <c r="G24" s="93"/>
      <c r="H24" s="94"/>
      <c r="I24" s="93"/>
      <c r="J24" s="102"/>
      <c r="K24" s="70"/>
      <c r="L24" s="17"/>
      <c r="M24" s="71"/>
      <c r="N24" s="72"/>
    </row>
    <row r="25" spans="2:14" ht="18" customHeight="1" x14ac:dyDescent="0.2">
      <c r="B25" s="6"/>
      <c r="C25" s="91"/>
      <c r="D25" s="92"/>
      <c r="E25" s="91"/>
      <c r="F25" s="92"/>
      <c r="G25" s="91"/>
      <c r="H25" s="92"/>
      <c r="I25" s="99"/>
      <c r="J25" s="100"/>
      <c r="K25" s="70"/>
      <c r="L25" s="17"/>
      <c r="M25" s="71"/>
      <c r="N25" s="72"/>
    </row>
    <row r="26" spans="2:14" ht="18" customHeight="1" x14ac:dyDescent="0.2">
      <c r="B26" s="8" t="s">
        <v>4</v>
      </c>
      <c r="C26" s="93"/>
      <c r="D26" s="94"/>
      <c r="E26" s="93" t="s">
        <v>4</v>
      </c>
      <c r="F26" s="94"/>
      <c r="G26" s="93"/>
      <c r="H26" s="94"/>
      <c r="I26" s="93" t="s">
        <v>4</v>
      </c>
      <c r="J26" s="102"/>
      <c r="K26" s="11"/>
      <c r="L26" s="17"/>
      <c r="M26" s="71"/>
      <c r="N26" s="72"/>
    </row>
    <row r="27" spans="2:14" ht="18" customHeight="1" x14ac:dyDescent="0.2">
      <c r="B27" s="6" t="s">
        <v>24</v>
      </c>
      <c r="C27" s="91"/>
      <c r="D27" s="92"/>
      <c r="E27" s="91" t="s">
        <v>24</v>
      </c>
      <c r="F27" s="92"/>
      <c r="G27" s="91"/>
      <c r="H27" s="92"/>
      <c r="I27" s="99" t="s">
        <v>24</v>
      </c>
      <c r="J27" s="100"/>
      <c r="K27" s="13"/>
      <c r="L27" s="19"/>
      <c r="M27" s="73"/>
      <c r="N27" s="74"/>
    </row>
    <row r="28" spans="2:14" ht="18" customHeight="1" x14ac:dyDescent="0.2">
      <c r="B28" s="8"/>
      <c r="C28" s="93"/>
      <c r="D28" s="94"/>
      <c r="E28" s="93"/>
      <c r="F28" s="94"/>
      <c r="G28" s="93"/>
      <c r="H28" s="94"/>
      <c r="I28" s="93"/>
      <c r="J28" s="102"/>
      <c r="K28" s="77" t="s">
        <v>20</v>
      </c>
      <c r="L28" s="16"/>
      <c r="M28" s="75"/>
      <c r="N28" s="76"/>
    </row>
    <row r="29" spans="2:14" ht="18" customHeight="1" x14ac:dyDescent="0.2">
      <c r="B29" s="6"/>
      <c r="C29" s="91"/>
      <c r="D29" s="92"/>
      <c r="E29" s="91"/>
      <c r="F29" s="92"/>
      <c r="G29" s="91"/>
      <c r="H29" s="92"/>
      <c r="I29" s="91"/>
      <c r="J29" s="107"/>
      <c r="K29" s="78"/>
      <c r="L29" s="17"/>
      <c r="M29" s="71"/>
      <c r="N29" s="72"/>
    </row>
    <row r="30" spans="2:14" ht="18" customHeight="1" x14ac:dyDescent="0.2">
      <c r="B30" s="8"/>
      <c r="C30" s="93" t="s">
        <v>6</v>
      </c>
      <c r="D30" s="94"/>
      <c r="E30" s="93"/>
      <c r="F30" s="94"/>
      <c r="G30" s="93" t="s">
        <v>6</v>
      </c>
      <c r="H30" s="94"/>
      <c r="I30" s="116"/>
      <c r="J30" s="117"/>
      <c r="K30" s="78"/>
      <c r="L30" s="17"/>
      <c r="M30" s="71"/>
      <c r="N30" s="72"/>
    </row>
    <row r="31" spans="2:14" ht="18" customHeight="1" x14ac:dyDescent="0.2">
      <c r="B31" s="6"/>
      <c r="C31" s="91" t="s">
        <v>25</v>
      </c>
      <c r="D31" s="92"/>
      <c r="E31" s="91"/>
      <c r="F31" s="92"/>
      <c r="G31" s="91" t="s">
        <v>25</v>
      </c>
      <c r="H31" s="92"/>
      <c r="I31" s="91"/>
      <c r="J31" s="107"/>
      <c r="K31" s="14"/>
      <c r="L31" s="17"/>
      <c r="M31" s="71"/>
      <c r="N31" s="72"/>
    </row>
    <row r="32" spans="2:14" ht="18" customHeight="1" x14ac:dyDescent="0.2">
      <c r="B32" s="8"/>
      <c r="C32" s="93"/>
      <c r="D32" s="94"/>
      <c r="E32" s="93"/>
      <c r="F32" s="94"/>
      <c r="G32" s="93"/>
      <c r="H32" s="94"/>
      <c r="I32" s="103"/>
      <c r="J32" s="104"/>
      <c r="K32" s="14"/>
      <c r="L32" s="17"/>
      <c r="M32" s="71"/>
      <c r="N32" s="72"/>
    </row>
    <row r="33" spans="2:14" ht="18" customHeight="1" x14ac:dyDescent="0.2">
      <c r="B33" s="7"/>
      <c r="C33" s="97"/>
      <c r="D33" s="98"/>
      <c r="E33" s="97"/>
      <c r="F33" s="98"/>
      <c r="G33" s="97"/>
      <c r="H33" s="98"/>
      <c r="I33" s="118"/>
      <c r="J33" s="119"/>
      <c r="K33" s="15"/>
      <c r="L33" s="20"/>
      <c r="M33" s="114"/>
      <c r="N33" s="115"/>
    </row>
  </sheetData>
  <mergeCells count="122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</mergeCells>
  <conditionalFormatting sqref="C4:H4">
    <cfRule type="expression" dxfId="15" priority="3" stopIfTrue="1">
      <formula>DAY(C4)&gt;8</formula>
    </cfRule>
  </conditionalFormatting>
  <conditionalFormatting sqref="C8:I10">
    <cfRule type="expression" dxfId="14" priority="2" stopIfTrue="1">
      <formula>AND(DAY(C8)&gt;=1,DAY(C8)&lt;=15)</formula>
    </cfRule>
  </conditionalFormatting>
  <conditionalFormatting sqref="C4:I9">
    <cfRule type="expression" dxfId="13" priority="4">
      <formula>VLOOKUP(DAY(C4),DíasDeTareas,1,FALSE)=DAY(C4)</formula>
    </cfRule>
  </conditionalFormatting>
  <conditionalFormatting sqref="B14:J33">
    <cfRule type="expression" dxfId="12" priority="1">
      <formula>B14&lt;&gt;""</formula>
    </cfRule>
  </conditionalFormatting>
  <printOptions horizontalCentered="1"/>
  <pageMargins left="0.5" right="0.5" top="0.5" bottom="0.5" header="0.3" footer="0.3"/>
  <pageSetup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zoomScaleNormal="100" zoomScalePageLayoutView="84" workbookViewId="0">
      <selection activeCell="K2" sqref="K2:M3"/>
    </sheetView>
  </sheetViews>
  <sheetFormatPr baseColWidth="10"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108" t="s">
        <v>27</v>
      </c>
      <c r="C2" s="21"/>
      <c r="D2" s="21"/>
      <c r="E2" s="21"/>
      <c r="F2" s="21"/>
      <c r="G2" s="21"/>
      <c r="H2" s="21"/>
      <c r="I2" s="21"/>
      <c r="J2" s="22"/>
      <c r="K2" s="82" t="s">
        <v>7</v>
      </c>
      <c r="L2" s="83">
        <v>2013</v>
      </c>
      <c r="M2" s="83"/>
      <c r="N2" s="25"/>
    </row>
    <row r="3" spans="1:14" ht="21" customHeight="1" x14ac:dyDescent="0.2">
      <c r="A3" s="4"/>
      <c r="B3" s="109"/>
      <c r="C3" s="2" t="s">
        <v>9</v>
      </c>
      <c r="D3" s="2" t="s">
        <v>1</v>
      </c>
      <c r="E3" s="2" t="s">
        <v>10</v>
      </c>
      <c r="F3" s="2" t="s">
        <v>11</v>
      </c>
      <c r="G3" s="2" t="s">
        <v>12</v>
      </c>
      <c r="H3" s="2" t="s">
        <v>0</v>
      </c>
      <c r="I3" s="2" t="s">
        <v>13</v>
      </c>
      <c r="J3" s="5"/>
      <c r="K3" s="84"/>
      <c r="L3" s="85"/>
      <c r="M3" s="85"/>
      <c r="N3" s="26"/>
    </row>
    <row r="4" spans="1:14" ht="18" customHeight="1" x14ac:dyDescent="0.2">
      <c r="A4" s="4"/>
      <c r="B4" s="109"/>
      <c r="C4" s="10">
        <f>IF(DAY(OctDom1)=1,OctDom1-6,OctDom1+1)</f>
        <v>43003</v>
      </c>
      <c r="D4" s="10">
        <f>IF(DAY(OctDom1)=1,OctDom1-5,OctDom1+2)</f>
        <v>43004</v>
      </c>
      <c r="E4" s="10">
        <f>IF(DAY(OctDom1)=1,OctDom1-4,OctDom1+3)</f>
        <v>43005</v>
      </c>
      <c r="F4" s="10">
        <f>IF(DAY(OctDom1)=1,OctDom1-3,OctDom1+4)</f>
        <v>43006</v>
      </c>
      <c r="G4" s="10">
        <f>IF(DAY(OctDom1)=1,OctDom1-2,OctDom1+5)</f>
        <v>43007</v>
      </c>
      <c r="H4" s="10">
        <f>IF(DAY(OctDom1)=1,OctDom1-1,OctDom1+6)</f>
        <v>43008</v>
      </c>
      <c r="I4" s="10">
        <f>IF(DAY(OctDom1)=1,OctDom1,OctDom1+7)</f>
        <v>43009</v>
      </c>
      <c r="J4" s="5"/>
      <c r="K4" s="86" t="s">
        <v>16</v>
      </c>
      <c r="L4" s="16"/>
      <c r="M4" s="87"/>
      <c r="N4" s="88"/>
    </row>
    <row r="5" spans="1:14" ht="18" customHeight="1" x14ac:dyDescent="0.2">
      <c r="A5" s="4"/>
      <c r="B5" s="109"/>
      <c r="C5" s="10">
        <f>IF(DAY(OctDom1)=1,OctDom1+1,OctDom1+8)</f>
        <v>43010</v>
      </c>
      <c r="D5" s="10">
        <f>IF(DAY(OctDom1)=1,OctDom1+2,OctDom1+9)</f>
        <v>43011</v>
      </c>
      <c r="E5" s="10">
        <f>IF(DAY(OctDom1)=1,OctDom1+3,OctDom1+10)</f>
        <v>43012</v>
      </c>
      <c r="F5" s="10">
        <f>IF(DAY(OctDom1)=1,OctDom1+4,OctDom1+11)</f>
        <v>43013</v>
      </c>
      <c r="G5" s="10">
        <f>IF(DAY(OctDom1)=1,OctDom1+5,OctDom1+12)</f>
        <v>43014</v>
      </c>
      <c r="H5" s="10">
        <f>IF(DAY(OctDom1)=1,OctDom1+6,OctDom1+13)</f>
        <v>43015</v>
      </c>
      <c r="I5" s="10">
        <f>IF(DAY(OctDom1)=1,OctDom1+7,OctDom1+14)</f>
        <v>43016</v>
      </c>
      <c r="J5" s="5"/>
      <c r="K5" s="78"/>
      <c r="L5" s="17"/>
      <c r="M5" s="71"/>
      <c r="N5" s="72"/>
    </row>
    <row r="6" spans="1:14" ht="18" customHeight="1" x14ac:dyDescent="0.2">
      <c r="A6" s="4"/>
      <c r="B6" s="109"/>
      <c r="C6" s="10">
        <f>IF(DAY(OctDom1)=1,OctDom1+8,OctDom1+15)</f>
        <v>43017</v>
      </c>
      <c r="D6" s="10">
        <f>IF(DAY(OctDom1)=1,OctDom1+9,OctDom1+16)</f>
        <v>43018</v>
      </c>
      <c r="E6" s="10">
        <f>IF(DAY(OctDom1)=1,OctDom1+10,OctDom1+17)</f>
        <v>43019</v>
      </c>
      <c r="F6" s="10">
        <f>IF(DAY(OctDom1)=1,OctDom1+11,OctDom1+18)</f>
        <v>43020</v>
      </c>
      <c r="G6" s="10">
        <f>IF(DAY(OctDom1)=1,OctDom1+12,OctDom1+19)</f>
        <v>43021</v>
      </c>
      <c r="H6" s="10">
        <f>IF(DAY(OctDom1)=1,OctDom1+13,OctDom1+20)</f>
        <v>43022</v>
      </c>
      <c r="I6" s="10">
        <f>IF(DAY(OctDom1)=1,OctDom1+14,OctDom1+21)</f>
        <v>43023</v>
      </c>
      <c r="J6" s="5"/>
      <c r="K6" s="78"/>
      <c r="L6" s="17"/>
      <c r="M6" s="71"/>
      <c r="N6" s="72"/>
    </row>
    <row r="7" spans="1:14" ht="18" customHeight="1" x14ac:dyDescent="0.2">
      <c r="A7" s="4"/>
      <c r="B7" s="109"/>
      <c r="C7" s="10">
        <f>IF(DAY(OctDom1)=1,OctDom1+15,OctDom1+22)</f>
        <v>43024</v>
      </c>
      <c r="D7" s="10">
        <f>IF(DAY(OctDom1)=1,OctDom1+16,OctDom1+23)</f>
        <v>43025</v>
      </c>
      <c r="E7" s="10">
        <f>IF(DAY(OctDom1)=1,OctDom1+17,OctDom1+24)</f>
        <v>43026</v>
      </c>
      <c r="F7" s="10">
        <f>IF(DAY(OctDom1)=1,OctDom1+18,OctDom1+25)</f>
        <v>43027</v>
      </c>
      <c r="G7" s="10">
        <f>IF(DAY(OctDom1)=1,OctDom1+19,OctDom1+26)</f>
        <v>43028</v>
      </c>
      <c r="H7" s="10">
        <f>IF(DAY(OctDom1)=1,OctDom1+20,OctDom1+27)</f>
        <v>43029</v>
      </c>
      <c r="I7" s="10">
        <f>IF(DAY(OctDom1)=1,OctDom1+21,OctDom1+28)</f>
        <v>43030</v>
      </c>
      <c r="J7" s="5"/>
      <c r="K7" s="11"/>
      <c r="L7" s="17"/>
      <c r="M7" s="71"/>
      <c r="N7" s="72"/>
    </row>
    <row r="8" spans="1:14" ht="18.75" customHeight="1" x14ac:dyDescent="0.2">
      <c r="A8" s="4"/>
      <c r="B8" s="109"/>
      <c r="C8" s="10">
        <f>IF(DAY(OctDom1)=1,OctDom1+22,OctDom1+29)</f>
        <v>43031</v>
      </c>
      <c r="D8" s="10">
        <f>IF(DAY(OctDom1)=1,OctDom1+23,OctDom1+30)</f>
        <v>43032</v>
      </c>
      <c r="E8" s="10">
        <f>IF(DAY(OctDom1)=1,OctDom1+24,OctDom1+31)</f>
        <v>43033</v>
      </c>
      <c r="F8" s="10">
        <f>IF(DAY(OctDom1)=1,OctDom1+25,OctDom1+32)</f>
        <v>43034</v>
      </c>
      <c r="G8" s="10">
        <f>IF(DAY(OctDom1)=1,OctDom1+26,OctDom1+33)</f>
        <v>43035</v>
      </c>
      <c r="H8" s="10">
        <f>IF(DAY(OctDom1)=1,OctDom1+27,OctDom1+34)</f>
        <v>43036</v>
      </c>
      <c r="I8" s="10">
        <f>IF(DAY(OctDom1)=1,OctDom1+28,OctDom1+35)</f>
        <v>43037</v>
      </c>
      <c r="J8" s="5"/>
      <c r="K8" s="11"/>
      <c r="L8" s="17"/>
      <c r="M8" s="71"/>
      <c r="N8" s="72"/>
    </row>
    <row r="9" spans="1:14" ht="18" customHeight="1" x14ac:dyDescent="0.2">
      <c r="A9" s="4"/>
      <c r="B9" s="109"/>
      <c r="C9" s="10">
        <f>IF(DAY(OctDom1)=1,OctDom1+29,OctDom1+36)</f>
        <v>43038</v>
      </c>
      <c r="D9" s="10">
        <f>IF(DAY(OctDom1)=1,OctDom1+30,OctDom1+37)</f>
        <v>43039</v>
      </c>
      <c r="E9" s="10">
        <f>IF(DAY(OctDom1)=1,OctDom1+31,OctDom1+38)</f>
        <v>43040</v>
      </c>
      <c r="F9" s="10">
        <f>IF(DAY(OctDom1)=1,OctDom1+32,OctDom1+39)</f>
        <v>43041</v>
      </c>
      <c r="G9" s="10">
        <f>IF(DAY(OctDom1)=1,OctDom1+33,OctDom1+40)</f>
        <v>43042</v>
      </c>
      <c r="H9" s="10">
        <f>IF(DAY(OctDom1)=1,OctDom1+34,OctDom1+41)</f>
        <v>43043</v>
      </c>
      <c r="I9" s="10">
        <f>IF(DAY(OctDom1)=1,OctDom1+35,OctDom1+42)</f>
        <v>43044</v>
      </c>
      <c r="J9" s="5"/>
      <c r="K9" s="12"/>
      <c r="L9" s="18"/>
      <c r="M9" s="73"/>
      <c r="N9" s="74"/>
    </row>
    <row r="10" spans="1:14" ht="18" customHeight="1" x14ac:dyDescent="0.2">
      <c r="A10" s="4"/>
      <c r="B10" s="110"/>
      <c r="C10" s="23"/>
      <c r="D10" s="23"/>
      <c r="E10" s="23"/>
      <c r="F10" s="23"/>
      <c r="G10" s="23"/>
      <c r="H10" s="23"/>
      <c r="I10" s="23"/>
      <c r="J10" s="24"/>
      <c r="K10" s="77" t="s">
        <v>17</v>
      </c>
      <c r="L10" s="16"/>
      <c r="M10" s="75"/>
      <c r="N10" s="76"/>
    </row>
    <row r="11" spans="1:14" ht="18" customHeight="1" x14ac:dyDescent="0.2">
      <c r="A11" s="4"/>
      <c r="B11" s="111" t="s">
        <v>15</v>
      </c>
      <c r="C11" s="112"/>
      <c r="D11" s="112"/>
      <c r="E11" s="112"/>
      <c r="F11" s="112"/>
      <c r="G11" s="112"/>
      <c r="H11" s="112"/>
      <c r="I11" s="112"/>
      <c r="J11" s="113"/>
      <c r="K11" s="78"/>
      <c r="L11" s="17"/>
      <c r="M11" s="71"/>
      <c r="N11" s="72"/>
    </row>
    <row r="12" spans="1:14" ht="18" customHeight="1" x14ac:dyDescent="0.2">
      <c r="A12" s="4"/>
      <c r="B12" s="111"/>
      <c r="C12" s="112"/>
      <c r="D12" s="112"/>
      <c r="E12" s="112"/>
      <c r="F12" s="112"/>
      <c r="G12" s="112"/>
      <c r="H12" s="112"/>
      <c r="I12" s="112"/>
      <c r="J12" s="113"/>
      <c r="K12" s="78"/>
      <c r="L12" s="17"/>
      <c r="M12" s="71"/>
      <c r="N12" s="72"/>
    </row>
    <row r="13" spans="1:14" ht="18" customHeight="1" x14ac:dyDescent="0.2">
      <c r="B13" s="3" t="s">
        <v>16</v>
      </c>
      <c r="C13" s="79" t="s">
        <v>17</v>
      </c>
      <c r="D13" s="81"/>
      <c r="E13" s="79" t="s">
        <v>18</v>
      </c>
      <c r="F13" s="81"/>
      <c r="G13" s="79" t="s">
        <v>19</v>
      </c>
      <c r="H13" s="81"/>
      <c r="I13" s="79" t="s">
        <v>20</v>
      </c>
      <c r="J13" s="80"/>
      <c r="K13" s="11"/>
      <c r="L13" s="17"/>
      <c r="M13" s="71"/>
      <c r="N13" s="72"/>
    </row>
    <row r="14" spans="1:14" ht="18" customHeight="1" x14ac:dyDescent="0.2">
      <c r="B14" s="8" t="s">
        <v>2</v>
      </c>
      <c r="C14" s="93"/>
      <c r="D14" s="94"/>
      <c r="E14" s="93" t="s">
        <v>2</v>
      </c>
      <c r="F14" s="94"/>
      <c r="G14" s="93"/>
      <c r="H14" s="94"/>
      <c r="I14" s="93" t="s">
        <v>2</v>
      </c>
      <c r="J14" s="102"/>
      <c r="K14" s="11"/>
      <c r="L14" s="17"/>
      <c r="M14" s="71"/>
      <c r="N14" s="72"/>
    </row>
    <row r="15" spans="1:14" ht="18" customHeight="1" x14ac:dyDescent="0.2">
      <c r="B15" s="6" t="s">
        <v>21</v>
      </c>
      <c r="C15" s="91"/>
      <c r="D15" s="92"/>
      <c r="E15" s="91" t="s">
        <v>21</v>
      </c>
      <c r="F15" s="92"/>
      <c r="G15" s="91"/>
      <c r="H15" s="92"/>
      <c r="I15" s="99" t="s">
        <v>21</v>
      </c>
      <c r="J15" s="100"/>
      <c r="K15" s="13"/>
      <c r="L15" s="19"/>
      <c r="M15" s="73"/>
      <c r="N15" s="74"/>
    </row>
    <row r="16" spans="1:14" ht="18" customHeight="1" x14ac:dyDescent="0.2">
      <c r="B16" s="8"/>
      <c r="C16" s="93" t="s">
        <v>3</v>
      </c>
      <c r="D16" s="94"/>
      <c r="E16" s="93"/>
      <c r="F16" s="94"/>
      <c r="G16" s="93" t="s">
        <v>3</v>
      </c>
      <c r="H16" s="94"/>
      <c r="I16" s="103"/>
      <c r="J16" s="104"/>
      <c r="K16" s="69" t="s">
        <v>18</v>
      </c>
      <c r="L16" s="16"/>
      <c r="M16" s="75"/>
      <c r="N16" s="76"/>
    </row>
    <row r="17" spans="2:14" ht="18" customHeight="1" x14ac:dyDescent="0.2">
      <c r="B17" s="6"/>
      <c r="C17" s="91" t="s">
        <v>22</v>
      </c>
      <c r="D17" s="92"/>
      <c r="E17" s="91"/>
      <c r="F17" s="92"/>
      <c r="G17" s="91" t="s">
        <v>22</v>
      </c>
      <c r="H17" s="92"/>
      <c r="I17" s="99"/>
      <c r="J17" s="100"/>
      <c r="K17" s="70"/>
      <c r="L17" s="17"/>
      <c r="M17" s="71"/>
      <c r="N17" s="72"/>
    </row>
    <row r="18" spans="2:14" ht="18" customHeight="1" x14ac:dyDescent="0.2">
      <c r="B18" s="9" t="s">
        <v>5</v>
      </c>
      <c r="C18" s="95"/>
      <c r="D18" s="96"/>
      <c r="E18" s="95" t="s">
        <v>5</v>
      </c>
      <c r="F18" s="96"/>
      <c r="G18" s="95"/>
      <c r="H18" s="96"/>
      <c r="I18" s="95" t="s">
        <v>5</v>
      </c>
      <c r="J18" s="101"/>
      <c r="K18" s="70"/>
      <c r="L18" s="17"/>
      <c r="M18" s="71"/>
      <c r="N18" s="72"/>
    </row>
    <row r="19" spans="2:14" ht="18" customHeight="1" x14ac:dyDescent="0.2">
      <c r="B19" s="6" t="s">
        <v>23</v>
      </c>
      <c r="C19" s="91"/>
      <c r="D19" s="92"/>
      <c r="E19" s="91" t="s">
        <v>23</v>
      </c>
      <c r="F19" s="92"/>
      <c r="G19" s="91"/>
      <c r="H19" s="92"/>
      <c r="I19" s="99" t="s">
        <v>23</v>
      </c>
      <c r="J19" s="100"/>
      <c r="K19" s="11"/>
      <c r="L19" s="17"/>
      <c r="M19" s="71"/>
      <c r="N19" s="72"/>
    </row>
    <row r="20" spans="2:14" ht="18" customHeight="1" x14ac:dyDescent="0.2">
      <c r="B20" s="8"/>
      <c r="C20" s="93"/>
      <c r="D20" s="94"/>
      <c r="E20" s="93"/>
      <c r="F20" s="94"/>
      <c r="G20" s="93"/>
      <c r="H20" s="94"/>
      <c r="I20" s="93"/>
      <c r="J20" s="102"/>
      <c r="K20" s="11"/>
      <c r="L20" s="17"/>
      <c r="M20" s="71"/>
      <c r="N20" s="72"/>
    </row>
    <row r="21" spans="2:14" ht="18" customHeight="1" x14ac:dyDescent="0.2">
      <c r="B21" s="6"/>
      <c r="C21" s="91"/>
      <c r="D21" s="92"/>
      <c r="E21" s="91"/>
      <c r="F21" s="92"/>
      <c r="G21" s="91"/>
      <c r="H21" s="92"/>
      <c r="I21" s="105"/>
      <c r="J21" s="106"/>
      <c r="K21" s="13"/>
      <c r="L21" s="19"/>
      <c r="M21" s="73"/>
      <c r="N21" s="74"/>
    </row>
    <row r="22" spans="2:14" ht="18" customHeight="1" x14ac:dyDescent="0.2">
      <c r="B22" s="8"/>
      <c r="C22" s="93"/>
      <c r="D22" s="94"/>
      <c r="E22" s="93"/>
      <c r="F22" s="94"/>
      <c r="G22" s="93"/>
      <c r="H22" s="94"/>
      <c r="I22" s="93"/>
      <c r="J22" s="102"/>
      <c r="K22" s="69" t="s">
        <v>19</v>
      </c>
      <c r="L22" s="16"/>
      <c r="M22" s="75"/>
      <c r="N22" s="76"/>
    </row>
    <row r="23" spans="2:14" ht="18" customHeight="1" x14ac:dyDescent="0.2">
      <c r="B23" s="6"/>
      <c r="C23" s="91"/>
      <c r="D23" s="92"/>
      <c r="E23" s="91"/>
      <c r="F23" s="92"/>
      <c r="G23" s="91"/>
      <c r="H23" s="92"/>
      <c r="I23" s="99"/>
      <c r="J23" s="100"/>
      <c r="K23" s="70"/>
      <c r="L23" s="17"/>
      <c r="M23" s="71"/>
      <c r="N23" s="72"/>
    </row>
    <row r="24" spans="2:14" ht="18" customHeight="1" x14ac:dyDescent="0.2">
      <c r="B24" s="8"/>
      <c r="C24" s="93"/>
      <c r="D24" s="94"/>
      <c r="E24" s="93"/>
      <c r="F24" s="94"/>
      <c r="G24" s="93"/>
      <c r="H24" s="94"/>
      <c r="I24" s="93"/>
      <c r="J24" s="102"/>
      <c r="K24" s="70"/>
      <c r="L24" s="17"/>
      <c r="M24" s="71"/>
      <c r="N24" s="72"/>
    </row>
    <row r="25" spans="2:14" ht="18" customHeight="1" x14ac:dyDescent="0.2">
      <c r="B25" s="6"/>
      <c r="C25" s="91"/>
      <c r="D25" s="92"/>
      <c r="E25" s="91"/>
      <c r="F25" s="92"/>
      <c r="G25" s="91"/>
      <c r="H25" s="92"/>
      <c r="I25" s="99"/>
      <c r="J25" s="100"/>
      <c r="K25" s="70"/>
      <c r="L25" s="17"/>
      <c r="M25" s="71"/>
      <c r="N25" s="72"/>
    </row>
    <row r="26" spans="2:14" ht="18" customHeight="1" x14ac:dyDescent="0.2">
      <c r="B26" s="8" t="s">
        <v>4</v>
      </c>
      <c r="C26" s="93"/>
      <c r="D26" s="94"/>
      <c r="E26" s="93" t="s">
        <v>4</v>
      </c>
      <c r="F26" s="94"/>
      <c r="G26" s="93"/>
      <c r="H26" s="94"/>
      <c r="I26" s="93" t="s">
        <v>4</v>
      </c>
      <c r="J26" s="102"/>
      <c r="K26" s="11"/>
      <c r="L26" s="17"/>
      <c r="M26" s="71"/>
      <c r="N26" s="72"/>
    </row>
    <row r="27" spans="2:14" ht="18" customHeight="1" x14ac:dyDescent="0.2">
      <c r="B27" s="6" t="s">
        <v>24</v>
      </c>
      <c r="C27" s="91"/>
      <c r="D27" s="92"/>
      <c r="E27" s="91" t="s">
        <v>24</v>
      </c>
      <c r="F27" s="92"/>
      <c r="G27" s="91"/>
      <c r="H27" s="92"/>
      <c r="I27" s="99" t="s">
        <v>24</v>
      </c>
      <c r="J27" s="100"/>
      <c r="K27" s="13"/>
      <c r="L27" s="19"/>
      <c r="M27" s="73"/>
      <c r="N27" s="74"/>
    </row>
    <row r="28" spans="2:14" ht="18" customHeight="1" x14ac:dyDescent="0.2">
      <c r="B28" s="8"/>
      <c r="C28" s="93"/>
      <c r="D28" s="94"/>
      <c r="E28" s="93"/>
      <c r="F28" s="94"/>
      <c r="G28" s="93"/>
      <c r="H28" s="94"/>
      <c r="I28" s="93"/>
      <c r="J28" s="102"/>
      <c r="K28" s="77" t="s">
        <v>20</v>
      </c>
      <c r="L28" s="16"/>
      <c r="M28" s="75"/>
      <c r="N28" s="76"/>
    </row>
    <row r="29" spans="2:14" ht="18" customHeight="1" x14ac:dyDescent="0.2">
      <c r="B29" s="6"/>
      <c r="C29" s="91"/>
      <c r="D29" s="92"/>
      <c r="E29" s="91"/>
      <c r="F29" s="92"/>
      <c r="G29" s="91"/>
      <c r="H29" s="92"/>
      <c r="I29" s="91"/>
      <c r="J29" s="107"/>
      <c r="K29" s="78"/>
      <c r="L29" s="17"/>
      <c r="M29" s="71"/>
      <c r="N29" s="72"/>
    </row>
    <row r="30" spans="2:14" ht="18" customHeight="1" x14ac:dyDescent="0.2">
      <c r="B30" s="8"/>
      <c r="C30" s="93" t="s">
        <v>6</v>
      </c>
      <c r="D30" s="94"/>
      <c r="E30" s="93"/>
      <c r="F30" s="94"/>
      <c r="G30" s="93" t="s">
        <v>6</v>
      </c>
      <c r="H30" s="94"/>
      <c r="I30" s="116"/>
      <c r="J30" s="117"/>
      <c r="K30" s="78"/>
      <c r="L30" s="17"/>
      <c r="M30" s="71"/>
      <c r="N30" s="72"/>
    </row>
    <row r="31" spans="2:14" ht="18" customHeight="1" x14ac:dyDescent="0.2">
      <c r="B31" s="6"/>
      <c r="C31" s="91" t="s">
        <v>25</v>
      </c>
      <c r="D31" s="92"/>
      <c r="E31" s="91"/>
      <c r="F31" s="92"/>
      <c r="G31" s="91" t="s">
        <v>25</v>
      </c>
      <c r="H31" s="92"/>
      <c r="I31" s="91"/>
      <c r="J31" s="107"/>
      <c r="K31" s="14"/>
      <c r="L31" s="17"/>
      <c r="M31" s="71"/>
      <c r="N31" s="72"/>
    </row>
    <row r="32" spans="2:14" ht="18" customHeight="1" x14ac:dyDescent="0.2">
      <c r="B32" s="8"/>
      <c r="C32" s="93"/>
      <c r="D32" s="94"/>
      <c r="E32" s="93"/>
      <c r="F32" s="94"/>
      <c r="G32" s="93"/>
      <c r="H32" s="94"/>
      <c r="I32" s="103"/>
      <c r="J32" s="104"/>
      <c r="K32" s="14"/>
      <c r="L32" s="17"/>
      <c r="M32" s="71"/>
      <c r="N32" s="72"/>
    </row>
    <row r="33" spans="2:14" ht="18" customHeight="1" x14ac:dyDescent="0.2">
      <c r="B33" s="7"/>
      <c r="C33" s="97"/>
      <c r="D33" s="98"/>
      <c r="E33" s="97"/>
      <c r="F33" s="98"/>
      <c r="G33" s="97"/>
      <c r="H33" s="98"/>
      <c r="I33" s="118"/>
      <c r="J33" s="119"/>
      <c r="K33" s="15"/>
      <c r="L33" s="20"/>
      <c r="M33" s="114"/>
      <c r="N33" s="115"/>
    </row>
  </sheetData>
  <mergeCells count="122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</mergeCells>
  <conditionalFormatting sqref="C4:H4">
    <cfRule type="expression" dxfId="11" priority="3" stopIfTrue="1">
      <formula>DAY(C4)&gt;8</formula>
    </cfRule>
  </conditionalFormatting>
  <conditionalFormatting sqref="C8:I10">
    <cfRule type="expression" dxfId="10" priority="2" stopIfTrue="1">
      <formula>AND(DAY(C8)&gt;=1,DAY(C8)&lt;=15)</formula>
    </cfRule>
  </conditionalFormatting>
  <conditionalFormatting sqref="C4:I9">
    <cfRule type="expression" dxfId="9" priority="4">
      <formula>VLOOKUP(DAY(C4),DíasDeTareas,1,FALSE)=DAY(C4)</formula>
    </cfRule>
  </conditionalFormatting>
  <conditionalFormatting sqref="B14:J33">
    <cfRule type="expression" dxfId="8" priority="1">
      <formula>B14&lt;&gt;""</formula>
    </cfRule>
  </conditionalFormatting>
  <printOptions horizontalCentered="1"/>
  <pageMargins left="0.5" right="0.5" top="0.5" bottom="0.5" header="0.3" footer="0.3"/>
  <pageSetup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zoomScaleNormal="100" zoomScalePageLayoutView="84" workbookViewId="0">
      <selection activeCell="K2" sqref="K2:M3"/>
    </sheetView>
  </sheetViews>
  <sheetFormatPr baseColWidth="10"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108" t="s">
        <v>26</v>
      </c>
      <c r="C2" s="21"/>
      <c r="D2" s="21"/>
      <c r="E2" s="21"/>
      <c r="F2" s="21"/>
      <c r="G2" s="21"/>
      <c r="H2" s="21"/>
      <c r="I2" s="21"/>
      <c r="J2" s="22"/>
      <c r="K2" s="82" t="s">
        <v>7</v>
      </c>
      <c r="L2" s="83">
        <v>2013</v>
      </c>
      <c r="M2" s="83"/>
      <c r="N2" s="25"/>
    </row>
    <row r="3" spans="1:14" ht="21" customHeight="1" x14ac:dyDescent="0.2">
      <c r="A3" s="4"/>
      <c r="B3" s="109"/>
      <c r="C3" s="2" t="s">
        <v>9</v>
      </c>
      <c r="D3" s="2" t="s">
        <v>1</v>
      </c>
      <c r="E3" s="2" t="s">
        <v>10</v>
      </c>
      <c r="F3" s="2" t="s">
        <v>11</v>
      </c>
      <c r="G3" s="2" t="s">
        <v>12</v>
      </c>
      <c r="H3" s="2" t="s">
        <v>0</v>
      </c>
      <c r="I3" s="2" t="s">
        <v>13</v>
      </c>
      <c r="J3" s="5"/>
      <c r="K3" s="84"/>
      <c r="L3" s="85"/>
      <c r="M3" s="85"/>
      <c r="N3" s="26"/>
    </row>
    <row r="4" spans="1:14" ht="18" customHeight="1" x14ac:dyDescent="0.2">
      <c r="A4" s="4"/>
      <c r="B4" s="109"/>
      <c r="C4" s="10">
        <f>IF(DAY(NovDom1)=1,NovDom1-6,NovDom1+1)</f>
        <v>43038</v>
      </c>
      <c r="D4" s="10">
        <f>IF(DAY(NovDom1)=1,NovDom1-5,NovDom1+2)</f>
        <v>43039</v>
      </c>
      <c r="E4" s="10">
        <f>IF(DAY(NovDom1)=1,NovDom1-4,NovDom1+3)</f>
        <v>43040</v>
      </c>
      <c r="F4" s="10">
        <f>IF(DAY(NovDom1)=1,NovDom1-3,NovDom1+4)</f>
        <v>43041</v>
      </c>
      <c r="G4" s="10">
        <f>IF(DAY(NovDom1)=1,NovDom1-2,NovDom1+5)</f>
        <v>43042</v>
      </c>
      <c r="H4" s="10">
        <f>IF(DAY(NovDom1)=1,NovDom1-1,NovDom1+6)</f>
        <v>43043</v>
      </c>
      <c r="I4" s="10">
        <f>IF(DAY(NovDom1)=1,NovDom1,NovDom1+7)</f>
        <v>43044</v>
      </c>
      <c r="J4" s="5"/>
      <c r="K4" s="86" t="s">
        <v>16</v>
      </c>
      <c r="L4" s="16"/>
      <c r="M4" s="87"/>
      <c r="N4" s="88"/>
    </row>
    <row r="5" spans="1:14" ht="18" customHeight="1" x14ac:dyDescent="0.2">
      <c r="A5" s="4"/>
      <c r="B5" s="109"/>
      <c r="C5" s="10">
        <f>IF(DAY(NovDom1)=1,NovDom1+1,NovDom1+8)</f>
        <v>43045</v>
      </c>
      <c r="D5" s="10">
        <f>IF(DAY(NovDom1)=1,NovDom1+2,NovDom1+9)</f>
        <v>43046</v>
      </c>
      <c r="E5" s="10">
        <f>IF(DAY(NovDom1)=1,NovDom1+3,NovDom1+10)</f>
        <v>43047</v>
      </c>
      <c r="F5" s="10">
        <f>IF(DAY(NovDom1)=1,NovDom1+4,NovDom1+11)</f>
        <v>43048</v>
      </c>
      <c r="G5" s="10">
        <f>IF(DAY(NovDom1)=1,NovDom1+5,NovDom1+12)</f>
        <v>43049</v>
      </c>
      <c r="H5" s="10">
        <f>IF(DAY(NovDom1)=1,NovDom1+6,NovDom1+13)</f>
        <v>43050</v>
      </c>
      <c r="I5" s="10">
        <f>IF(DAY(NovDom1)=1,NovDom1+7,NovDom1+14)</f>
        <v>43051</v>
      </c>
      <c r="J5" s="5"/>
      <c r="K5" s="78"/>
      <c r="L5" s="17"/>
      <c r="M5" s="71"/>
      <c r="N5" s="72"/>
    </row>
    <row r="6" spans="1:14" ht="18" customHeight="1" x14ac:dyDescent="0.2">
      <c r="A6" s="4"/>
      <c r="B6" s="109"/>
      <c r="C6" s="10">
        <f>IF(DAY(NovDom1)=1,NovDom1+8,NovDom1+15)</f>
        <v>43052</v>
      </c>
      <c r="D6" s="10">
        <f>IF(DAY(NovDom1)=1,NovDom1+9,NovDom1+16)</f>
        <v>43053</v>
      </c>
      <c r="E6" s="10">
        <f>IF(DAY(NovDom1)=1,NovDom1+10,NovDom1+17)</f>
        <v>43054</v>
      </c>
      <c r="F6" s="10">
        <f>IF(DAY(NovDom1)=1,NovDom1+11,NovDom1+18)</f>
        <v>43055</v>
      </c>
      <c r="G6" s="10">
        <f>IF(DAY(NovDom1)=1,NovDom1+12,NovDom1+19)</f>
        <v>43056</v>
      </c>
      <c r="H6" s="10">
        <f>IF(DAY(NovDom1)=1,NovDom1+13,NovDom1+20)</f>
        <v>43057</v>
      </c>
      <c r="I6" s="10">
        <f>IF(DAY(NovDom1)=1,NovDom1+14,NovDom1+21)</f>
        <v>43058</v>
      </c>
      <c r="J6" s="5"/>
      <c r="K6" s="78"/>
      <c r="L6" s="17"/>
      <c r="M6" s="71"/>
      <c r="N6" s="72"/>
    </row>
    <row r="7" spans="1:14" ht="18" customHeight="1" x14ac:dyDescent="0.2">
      <c r="A7" s="4"/>
      <c r="B7" s="109"/>
      <c r="C7" s="10">
        <f>IF(DAY(NovDom1)=1,NovDom1+15,NovDom1+22)</f>
        <v>43059</v>
      </c>
      <c r="D7" s="10">
        <f>IF(DAY(NovDom1)=1,NovDom1+16,NovDom1+23)</f>
        <v>43060</v>
      </c>
      <c r="E7" s="10">
        <f>IF(DAY(NovDom1)=1,NovDom1+17,NovDom1+24)</f>
        <v>43061</v>
      </c>
      <c r="F7" s="10">
        <f>IF(DAY(NovDom1)=1,NovDom1+18,NovDom1+25)</f>
        <v>43062</v>
      </c>
      <c r="G7" s="10">
        <f>IF(DAY(NovDom1)=1,NovDom1+19,NovDom1+26)</f>
        <v>43063</v>
      </c>
      <c r="H7" s="10">
        <f>IF(DAY(NovDom1)=1,NovDom1+20,NovDom1+27)</f>
        <v>43064</v>
      </c>
      <c r="I7" s="10">
        <f>IF(DAY(NovDom1)=1,NovDom1+21,NovDom1+28)</f>
        <v>43065</v>
      </c>
      <c r="J7" s="5"/>
      <c r="K7" s="11"/>
      <c r="L7" s="17"/>
      <c r="M7" s="71"/>
      <c r="N7" s="72"/>
    </row>
    <row r="8" spans="1:14" ht="18.75" customHeight="1" x14ac:dyDescent="0.2">
      <c r="A8" s="4"/>
      <c r="B8" s="109"/>
      <c r="C8" s="10">
        <f>IF(DAY(NovDom1)=1,NovDom1+22,NovDom1+29)</f>
        <v>43066</v>
      </c>
      <c r="D8" s="10">
        <f>IF(DAY(NovDom1)=1,NovDom1+23,NovDom1+30)</f>
        <v>43067</v>
      </c>
      <c r="E8" s="10">
        <f>IF(DAY(NovDom1)=1,NovDom1+24,NovDom1+31)</f>
        <v>43068</v>
      </c>
      <c r="F8" s="10">
        <f>IF(DAY(NovDom1)=1,NovDom1+25,NovDom1+32)</f>
        <v>43069</v>
      </c>
      <c r="G8" s="10">
        <f>IF(DAY(NovDom1)=1,NovDom1+26,NovDom1+33)</f>
        <v>43070</v>
      </c>
      <c r="H8" s="10">
        <f>IF(DAY(NovDom1)=1,NovDom1+27,NovDom1+34)</f>
        <v>43071</v>
      </c>
      <c r="I8" s="10">
        <f>IF(DAY(NovDom1)=1,NovDom1+28,NovDom1+35)</f>
        <v>43072</v>
      </c>
      <c r="J8" s="5"/>
      <c r="K8" s="11"/>
      <c r="L8" s="17"/>
      <c r="M8" s="71"/>
      <c r="N8" s="72"/>
    </row>
    <row r="9" spans="1:14" ht="18" customHeight="1" x14ac:dyDescent="0.2">
      <c r="A9" s="4"/>
      <c r="B9" s="109"/>
      <c r="C9" s="10">
        <f>IF(DAY(NovDom1)=1,NovDom1+29,NovDom1+36)</f>
        <v>43073</v>
      </c>
      <c r="D9" s="10">
        <f>IF(DAY(NovDom1)=1,NovDom1+30,NovDom1+37)</f>
        <v>43074</v>
      </c>
      <c r="E9" s="10">
        <f>IF(DAY(NovDom1)=1,NovDom1+31,NovDom1+38)</f>
        <v>43075</v>
      </c>
      <c r="F9" s="10">
        <f>IF(DAY(NovDom1)=1,NovDom1+32,NovDom1+39)</f>
        <v>43076</v>
      </c>
      <c r="G9" s="10">
        <f>IF(DAY(NovDom1)=1,NovDom1+33,NovDom1+40)</f>
        <v>43077</v>
      </c>
      <c r="H9" s="10">
        <f>IF(DAY(NovDom1)=1,NovDom1+34,NovDom1+41)</f>
        <v>43078</v>
      </c>
      <c r="I9" s="10">
        <f>IF(DAY(NovDom1)=1,NovDom1+35,NovDom1+42)</f>
        <v>43079</v>
      </c>
      <c r="J9" s="5"/>
      <c r="K9" s="12"/>
      <c r="L9" s="18"/>
      <c r="M9" s="73"/>
      <c r="N9" s="74"/>
    </row>
    <row r="10" spans="1:14" ht="18" customHeight="1" x14ac:dyDescent="0.2">
      <c r="A10" s="4"/>
      <c r="B10" s="110"/>
      <c r="C10" s="23"/>
      <c r="D10" s="23"/>
      <c r="E10" s="23"/>
      <c r="F10" s="23"/>
      <c r="G10" s="23"/>
      <c r="H10" s="23"/>
      <c r="I10" s="23"/>
      <c r="J10" s="24"/>
      <c r="K10" s="77" t="s">
        <v>17</v>
      </c>
      <c r="L10" s="16"/>
      <c r="M10" s="75"/>
      <c r="N10" s="76"/>
    </row>
    <row r="11" spans="1:14" ht="18" customHeight="1" x14ac:dyDescent="0.2">
      <c r="A11" s="4"/>
      <c r="B11" s="111" t="s">
        <v>15</v>
      </c>
      <c r="C11" s="112"/>
      <c r="D11" s="112"/>
      <c r="E11" s="112"/>
      <c r="F11" s="112"/>
      <c r="G11" s="112"/>
      <c r="H11" s="112"/>
      <c r="I11" s="112"/>
      <c r="J11" s="113"/>
      <c r="K11" s="78"/>
      <c r="L11" s="17"/>
      <c r="M11" s="71"/>
      <c r="N11" s="72"/>
    </row>
    <row r="12" spans="1:14" ht="18" customHeight="1" x14ac:dyDescent="0.2">
      <c r="A12" s="4"/>
      <c r="B12" s="111"/>
      <c r="C12" s="112"/>
      <c r="D12" s="112"/>
      <c r="E12" s="112"/>
      <c r="F12" s="112"/>
      <c r="G12" s="112"/>
      <c r="H12" s="112"/>
      <c r="I12" s="112"/>
      <c r="J12" s="113"/>
      <c r="K12" s="78"/>
      <c r="L12" s="17"/>
      <c r="M12" s="71"/>
      <c r="N12" s="72"/>
    </row>
    <row r="13" spans="1:14" ht="18" customHeight="1" x14ac:dyDescent="0.2">
      <c r="B13" s="3" t="s">
        <v>16</v>
      </c>
      <c r="C13" s="79" t="s">
        <v>17</v>
      </c>
      <c r="D13" s="81"/>
      <c r="E13" s="79" t="s">
        <v>18</v>
      </c>
      <c r="F13" s="81"/>
      <c r="G13" s="79" t="s">
        <v>19</v>
      </c>
      <c r="H13" s="81"/>
      <c r="I13" s="79" t="s">
        <v>20</v>
      </c>
      <c r="J13" s="80"/>
      <c r="K13" s="11"/>
      <c r="L13" s="17"/>
      <c r="M13" s="71"/>
      <c r="N13" s="72"/>
    </row>
    <row r="14" spans="1:14" ht="18" customHeight="1" x14ac:dyDescent="0.2">
      <c r="B14" s="8" t="s">
        <v>2</v>
      </c>
      <c r="C14" s="93"/>
      <c r="D14" s="94"/>
      <c r="E14" s="93" t="s">
        <v>2</v>
      </c>
      <c r="F14" s="94"/>
      <c r="G14" s="93"/>
      <c r="H14" s="94"/>
      <c r="I14" s="93" t="s">
        <v>2</v>
      </c>
      <c r="J14" s="102"/>
      <c r="K14" s="11"/>
      <c r="L14" s="17"/>
      <c r="M14" s="71"/>
      <c r="N14" s="72"/>
    </row>
    <row r="15" spans="1:14" ht="18" customHeight="1" x14ac:dyDescent="0.2">
      <c r="B15" s="6" t="s">
        <v>21</v>
      </c>
      <c r="C15" s="91"/>
      <c r="D15" s="92"/>
      <c r="E15" s="91" t="s">
        <v>21</v>
      </c>
      <c r="F15" s="92"/>
      <c r="G15" s="91"/>
      <c r="H15" s="92"/>
      <c r="I15" s="99" t="s">
        <v>21</v>
      </c>
      <c r="J15" s="100"/>
      <c r="K15" s="13"/>
      <c r="L15" s="19"/>
      <c r="M15" s="73"/>
      <c r="N15" s="74"/>
    </row>
    <row r="16" spans="1:14" ht="18" customHeight="1" x14ac:dyDescent="0.2">
      <c r="B16" s="8"/>
      <c r="C16" s="93" t="s">
        <v>3</v>
      </c>
      <c r="D16" s="94"/>
      <c r="E16" s="93"/>
      <c r="F16" s="94"/>
      <c r="G16" s="93" t="s">
        <v>3</v>
      </c>
      <c r="H16" s="94"/>
      <c r="I16" s="103"/>
      <c r="J16" s="104"/>
      <c r="K16" s="69" t="s">
        <v>18</v>
      </c>
      <c r="L16" s="16"/>
      <c r="M16" s="75"/>
      <c r="N16" s="76"/>
    </row>
    <row r="17" spans="2:14" ht="18" customHeight="1" x14ac:dyDescent="0.2">
      <c r="B17" s="6"/>
      <c r="C17" s="91" t="s">
        <v>22</v>
      </c>
      <c r="D17" s="92"/>
      <c r="E17" s="91"/>
      <c r="F17" s="92"/>
      <c r="G17" s="91" t="s">
        <v>22</v>
      </c>
      <c r="H17" s="92"/>
      <c r="I17" s="99"/>
      <c r="J17" s="100"/>
      <c r="K17" s="70"/>
      <c r="L17" s="17"/>
      <c r="M17" s="71"/>
      <c r="N17" s="72"/>
    </row>
    <row r="18" spans="2:14" ht="18" customHeight="1" x14ac:dyDescent="0.2">
      <c r="B18" s="9" t="s">
        <v>5</v>
      </c>
      <c r="C18" s="95"/>
      <c r="D18" s="96"/>
      <c r="E18" s="95" t="s">
        <v>5</v>
      </c>
      <c r="F18" s="96"/>
      <c r="G18" s="95"/>
      <c r="H18" s="96"/>
      <c r="I18" s="95" t="s">
        <v>5</v>
      </c>
      <c r="J18" s="101"/>
      <c r="K18" s="70"/>
      <c r="L18" s="17"/>
      <c r="M18" s="71"/>
      <c r="N18" s="72"/>
    </row>
    <row r="19" spans="2:14" ht="18" customHeight="1" x14ac:dyDescent="0.2">
      <c r="B19" s="6" t="s">
        <v>23</v>
      </c>
      <c r="C19" s="91"/>
      <c r="D19" s="92"/>
      <c r="E19" s="91" t="s">
        <v>23</v>
      </c>
      <c r="F19" s="92"/>
      <c r="G19" s="91"/>
      <c r="H19" s="92"/>
      <c r="I19" s="99" t="s">
        <v>23</v>
      </c>
      <c r="J19" s="100"/>
      <c r="K19" s="11"/>
      <c r="L19" s="17"/>
      <c r="M19" s="71"/>
      <c r="N19" s="72"/>
    </row>
    <row r="20" spans="2:14" ht="18" customHeight="1" x14ac:dyDescent="0.2">
      <c r="B20" s="8"/>
      <c r="C20" s="93"/>
      <c r="D20" s="94"/>
      <c r="E20" s="93"/>
      <c r="F20" s="94"/>
      <c r="G20" s="93"/>
      <c r="H20" s="94"/>
      <c r="I20" s="93"/>
      <c r="J20" s="102"/>
      <c r="K20" s="11"/>
      <c r="L20" s="17"/>
      <c r="M20" s="71"/>
      <c r="N20" s="72"/>
    </row>
    <row r="21" spans="2:14" ht="18" customHeight="1" x14ac:dyDescent="0.2">
      <c r="B21" s="6"/>
      <c r="C21" s="91"/>
      <c r="D21" s="92"/>
      <c r="E21" s="91"/>
      <c r="F21" s="92"/>
      <c r="G21" s="91"/>
      <c r="H21" s="92"/>
      <c r="I21" s="105"/>
      <c r="J21" s="106"/>
      <c r="K21" s="13"/>
      <c r="L21" s="19"/>
      <c r="M21" s="73"/>
      <c r="N21" s="74"/>
    </row>
    <row r="22" spans="2:14" ht="18" customHeight="1" x14ac:dyDescent="0.2">
      <c r="B22" s="8"/>
      <c r="C22" s="93"/>
      <c r="D22" s="94"/>
      <c r="E22" s="93"/>
      <c r="F22" s="94"/>
      <c r="G22" s="93"/>
      <c r="H22" s="94"/>
      <c r="I22" s="93"/>
      <c r="J22" s="102"/>
      <c r="K22" s="69" t="s">
        <v>19</v>
      </c>
      <c r="L22" s="16"/>
      <c r="M22" s="75"/>
      <c r="N22" s="76"/>
    </row>
    <row r="23" spans="2:14" ht="18" customHeight="1" x14ac:dyDescent="0.2">
      <c r="B23" s="6"/>
      <c r="C23" s="91"/>
      <c r="D23" s="92"/>
      <c r="E23" s="91"/>
      <c r="F23" s="92"/>
      <c r="G23" s="91"/>
      <c r="H23" s="92"/>
      <c r="I23" s="99"/>
      <c r="J23" s="100"/>
      <c r="K23" s="70"/>
      <c r="L23" s="17"/>
      <c r="M23" s="71"/>
      <c r="N23" s="72"/>
    </row>
    <row r="24" spans="2:14" ht="18" customHeight="1" x14ac:dyDescent="0.2">
      <c r="B24" s="8"/>
      <c r="C24" s="93"/>
      <c r="D24" s="94"/>
      <c r="E24" s="93"/>
      <c r="F24" s="94"/>
      <c r="G24" s="93"/>
      <c r="H24" s="94"/>
      <c r="I24" s="93"/>
      <c r="J24" s="102"/>
      <c r="K24" s="70"/>
      <c r="L24" s="17"/>
      <c r="M24" s="71"/>
      <c r="N24" s="72"/>
    </row>
    <row r="25" spans="2:14" ht="18" customHeight="1" x14ac:dyDescent="0.2">
      <c r="B25" s="6"/>
      <c r="C25" s="91"/>
      <c r="D25" s="92"/>
      <c r="E25" s="91"/>
      <c r="F25" s="92"/>
      <c r="G25" s="91"/>
      <c r="H25" s="92"/>
      <c r="I25" s="99"/>
      <c r="J25" s="100"/>
      <c r="K25" s="70"/>
      <c r="L25" s="17"/>
      <c r="M25" s="71"/>
      <c r="N25" s="72"/>
    </row>
    <row r="26" spans="2:14" ht="18" customHeight="1" x14ac:dyDescent="0.2">
      <c r="B26" s="8" t="s">
        <v>4</v>
      </c>
      <c r="C26" s="93"/>
      <c r="D26" s="94"/>
      <c r="E26" s="93" t="s">
        <v>4</v>
      </c>
      <c r="F26" s="94"/>
      <c r="G26" s="93"/>
      <c r="H26" s="94"/>
      <c r="I26" s="93" t="s">
        <v>4</v>
      </c>
      <c r="J26" s="102"/>
      <c r="K26" s="11"/>
      <c r="L26" s="17"/>
      <c r="M26" s="71"/>
      <c r="N26" s="72"/>
    </row>
    <row r="27" spans="2:14" ht="18" customHeight="1" x14ac:dyDescent="0.2">
      <c r="B27" s="6" t="s">
        <v>24</v>
      </c>
      <c r="C27" s="91"/>
      <c r="D27" s="92"/>
      <c r="E27" s="91" t="s">
        <v>24</v>
      </c>
      <c r="F27" s="92"/>
      <c r="G27" s="91"/>
      <c r="H27" s="92"/>
      <c r="I27" s="99" t="s">
        <v>24</v>
      </c>
      <c r="J27" s="100"/>
      <c r="K27" s="13"/>
      <c r="L27" s="19"/>
      <c r="M27" s="73"/>
      <c r="N27" s="74"/>
    </row>
    <row r="28" spans="2:14" ht="18" customHeight="1" x14ac:dyDescent="0.2">
      <c r="B28" s="8"/>
      <c r="C28" s="93"/>
      <c r="D28" s="94"/>
      <c r="E28" s="93"/>
      <c r="F28" s="94"/>
      <c r="G28" s="93"/>
      <c r="H28" s="94"/>
      <c r="I28" s="93"/>
      <c r="J28" s="102"/>
      <c r="K28" s="77" t="s">
        <v>20</v>
      </c>
      <c r="L28" s="16"/>
      <c r="M28" s="75"/>
      <c r="N28" s="76"/>
    </row>
    <row r="29" spans="2:14" ht="18" customHeight="1" x14ac:dyDescent="0.2">
      <c r="B29" s="6"/>
      <c r="C29" s="91"/>
      <c r="D29" s="92"/>
      <c r="E29" s="91"/>
      <c r="F29" s="92"/>
      <c r="G29" s="91"/>
      <c r="H29" s="92"/>
      <c r="I29" s="91"/>
      <c r="J29" s="107"/>
      <c r="K29" s="78"/>
      <c r="L29" s="17"/>
      <c r="M29" s="71"/>
      <c r="N29" s="72"/>
    </row>
    <row r="30" spans="2:14" ht="18" customHeight="1" x14ac:dyDescent="0.2">
      <c r="B30" s="8"/>
      <c r="C30" s="93" t="s">
        <v>6</v>
      </c>
      <c r="D30" s="94"/>
      <c r="E30" s="93"/>
      <c r="F30" s="94"/>
      <c r="G30" s="93" t="s">
        <v>6</v>
      </c>
      <c r="H30" s="94"/>
      <c r="I30" s="116"/>
      <c r="J30" s="117"/>
      <c r="K30" s="78"/>
      <c r="L30" s="17"/>
      <c r="M30" s="71"/>
      <c r="N30" s="72"/>
    </row>
    <row r="31" spans="2:14" ht="18" customHeight="1" x14ac:dyDescent="0.2">
      <c r="B31" s="6"/>
      <c r="C31" s="91" t="s">
        <v>25</v>
      </c>
      <c r="D31" s="92"/>
      <c r="E31" s="91"/>
      <c r="F31" s="92"/>
      <c r="G31" s="91" t="s">
        <v>25</v>
      </c>
      <c r="H31" s="92"/>
      <c r="I31" s="91"/>
      <c r="J31" s="107"/>
      <c r="K31" s="14"/>
      <c r="L31" s="17"/>
      <c r="M31" s="71"/>
      <c r="N31" s="72"/>
    </row>
    <row r="32" spans="2:14" ht="18" customHeight="1" x14ac:dyDescent="0.2">
      <c r="B32" s="8"/>
      <c r="C32" s="93"/>
      <c r="D32" s="94"/>
      <c r="E32" s="93"/>
      <c r="F32" s="94"/>
      <c r="G32" s="93"/>
      <c r="H32" s="94"/>
      <c r="I32" s="103"/>
      <c r="J32" s="104"/>
      <c r="K32" s="14"/>
      <c r="L32" s="17"/>
      <c r="M32" s="71"/>
      <c r="N32" s="72"/>
    </row>
    <row r="33" spans="2:14" ht="18" customHeight="1" x14ac:dyDescent="0.2">
      <c r="B33" s="7"/>
      <c r="C33" s="97"/>
      <c r="D33" s="98"/>
      <c r="E33" s="97"/>
      <c r="F33" s="98"/>
      <c r="G33" s="97"/>
      <c r="H33" s="98"/>
      <c r="I33" s="118"/>
      <c r="J33" s="119"/>
      <c r="K33" s="15"/>
      <c r="L33" s="20"/>
      <c r="M33" s="114"/>
      <c r="N33" s="115"/>
    </row>
  </sheetData>
  <mergeCells count="122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</mergeCells>
  <conditionalFormatting sqref="C4:H4">
    <cfRule type="expression" dxfId="7" priority="3" stopIfTrue="1">
      <formula>DAY(C4)&gt;8</formula>
    </cfRule>
  </conditionalFormatting>
  <conditionalFormatting sqref="C8:I10">
    <cfRule type="expression" dxfId="6" priority="2" stopIfTrue="1">
      <formula>AND(DAY(C8)&gt;=1,DAY(C8)&lt;=15)</formula>
    </cfRule>
  </conditionalFormatting>
  <conditionalFormatting sqref="C4:I9">
    <cfRule type="expression" dxfId="5" priority="4">
      <formula>VLOOKUP(DAY(C4),DíasDeTareas,1,FALSE)=DAY(C4)</formula>
    </cfRule>
  </conditionalFormatting>
  <conditionalFormatting sqref="B14:J33">
    <cfRule type="expression" dxfId="4" priority="1">
      <formula>B14&lt;&gt;""</formula>
    </cfRule>
  </conditionalFormatting>
  <printOptions horizontalCentered="1"/>
  <pageMargins left="0.5" right="0.5" top="0.5" bottom="0.5" header="0.3" footer="0.3"/>
  <pageSetup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O33"/>
  <sheetViews>
    <sheetView showGridLines="0" zoomScaleNormal="100" zoomScalePageLayoutView="84" workbookViewId="0">
      <selection activeCell="H9" sqref="H9"/>
    </sheetView>
  </sheetViews>
  <sheetFormatPr baseColWidth="10" defaultColWidth="8.7109375" defaultRowHeight="16.5" customHeight="1" x14ac:dyDescent="0.2"/>
  <cols>
    <col min="1" max="1" width="2.28515625" style="1" customWidth="1"/>
    <col min="2" max="2" width="12.7109375" style="1" customWidth="1"/>
    <col min="3" max="10" width="6.7109375" style="1" customWidth="1"/>
    <col min="11" max="11" width="7.28515625" style="1" customWidth="1"/>
    <col min="12" max="12" width="3.85546875" customWidth="1"/>
    <col min="13" max="13" width="51.42578125" style="1" customWidth="1"/>
    <col min="14" max="14" width="10.7109375" style="1" customWidth="1"/>
    <col min="15" max="15" width="2.28515625" customWidth="1"/>
    <col min="16" max="22" width="8.85546875" customWidth="1"/>
    <col min="42" max="16384" width="8.7109375" style="1"/>
  </cols>
  <sheetData>
    <row r="1" spans="1:14" ht="11.25" customHeight="1" x14ac:dyDescent="0.2"/>
    <row r="2" spans="1:14" ht="18" customHeight="1" x14ac:dyDescent="0.2">
      <c r="A2" s="4"/>
      <c r="B2" s="108" t="s">
        <v>14</v>
      </c>
      <c r="C2" s="21"/>
      <c r="D2" s="21"/>
      <c r="E2" s="21"/>
      <c r="F2" s="21"/>
      <c r="G2" s="21"/>
      <c r="H2" s="21"/>
      <c r="I2" s="21"/>
      <c r="J2" s="22"/>
      <c r="K2" s="82" t="s">
        <v>7</v>
      </c>
      <c r="L2" s="83">
        <v>2013</v>
      </c>
      <c r="M2" s="83"/>
      <c r="N2" s="25"/>
    </row>
    <row r="3" spans="1:14" ht="21" customHeight="1" x14ac:dyDescent="0.2">
      <c r="A3" s="4"/>
      <c r="B3" s="109"/>
      <c r="C3" s="2" t="s">
        <v>9</v>
      </c>
      <c r="D3" s="2" t="s">
        <v>1</v>
      </c>
      <c r="E3" s="2" t="s">
        <v>10</v>
      </c>
      <c r="F3" s="2" t="s">
        <v>11</v>
      </c>
      <c r="G3" s="2" t="s">
        <v>12</v>
      </c>
      <c r="H3" s="2" t="s">
        <v>0</v>
      </c>
      <c r="I3" s="2" t="s">
        <v>13</v>
      </c>
      <c r="J3" s="5"/>
      <c r="K3" s="84"/>
      <c r="L3" s="85"/>
      <c r="M3" s="85"/>
      <c r="N3" s="26"/>
    </row>
    <row r="4" spans="1:14" ht="18" customHeight="1" x14ac:dyDescent="0.2">
      <c r="A4" s="4"/>
      <c r="B4" s="109"/>
      <c r="C4" s="10">
        <f>IF(DAY(DicDom1)=1,DicDom1-6,DicDom1+1)</f>
        <v>43066</v>
      </c>
      <c r="D4" s="10">
        <f>IF(DAY(DicDom1)=1,DicDom1-5,DicDom1+2)</f>
        <v>43067</v>
      </c>
      <c r="E4" s="10">
        <f>IF(DAY(DicDom1)=1,DicDom1-4,DicDom1+3)</f>
        <v>43068</v>
      </c>
      <c r="F4" s="10">
        <f>IF(DAY(DicDom1)=1,DicDom1-3,DicDom1+4)</f>
        <v>43069</v>
      </c>
      <c r="G4" s="10">
        <f>IF(DAY(DicDom1)=1,DicDom1-2,DicDom1+5)</f>
        <v>43070</v>
      </c>
      <c r="H4" s="10">
        <f>IF(DAY(DicDom1)=1,DicDom1-1,DicDom1+6)</f>
        <v>43071</v>
      </c>
      <c r="I4" s="10">
        <f>IF(DAY(DicDom1)=1,DicDom1,DicDom1+7)</f>
        <v>43072</v>
      </c>
      <c r="J4" s="5"/>
      <c r="K4" s="86" t="s">
        <v>16</v>
      </c>
      <c r="L4" s="16"/>
      <c r="M4" s="87"/>
      <c r="N4" s="88"/>
    </row>
    <row r="5" spans="1:14" ht="18" customHeight="1" x14ac:dyDescent="0.2">
      <c r="A5" s="4"/>
      <c r="B5" s="109"/>
      <c r="C5" s="10">
        <f>IF(DAY(DicDom1)=1,DicDom1+1,DicDom1+8)</f>
        <v>43073</v>
      </c>
      <c r="D5" s="10">
        <f>IF(DAY(DicDom1)=1,DicDom1+2,DicDom1+9)</f>
        <v>43074</v>
      </c>
      <c r="E5" s="10">
        <f>IF(DAY(DicDom1)=1,DicDom1+3,DicDom1+10)</f>
        <v>43075</v>
      </c>
      <c r="F5" s="10">
        <f>IF(DAY(DicDom1)=1,DicDom1+4,DicDom1+11)</f>
        <v>43076</v>
      </c>
      <c r="G5" s="10">
        <f>IF(DAY(DicDom1)=1,DicDom1+5,DicDom1+12)</f>
        <v>43077</v>
      </c>
      <c r="H5" s="10">
        <f>IF(DAY(DicDom1)=1,DicDom1+6,DicDom1+13)</f>
        <v>43078</v>
      </c>
      <c r="I5" s="10">
        <f>IF(DAY(DicDom1)=1,DicDom1+7,DicDom1+14)</f>
        <v>43079</v>
      </c>
      <c r="J5" s="5"/>
      <c r="K5" s="78"/>
      <c r="L5" s="17"/>
      <c r="M5" s="71"/>
      <c r="N5" s="72"/>
    </row>
    <row r="6" spans="1:14" ht="18" customHeight="1" x14ac:dyDescent="0.2">
      <c r="A6" s="4"/>
      <c r="B6" s="109"/>
      <c r="C6" s="10">
        <f>IF(DAY(DicDom1)=1,DicDom1+8,DicDom1+15)</f>
        <v>43080</v>
      </c>
      <c r="D6" s="10">
        <f>IF(DAY(DicDom1)=1,DicDom1+9,DicDom1+16)</f>
        <v>43081</v>
      </c>
      <c r="E6" s="10">
        <f>IF(DAY(DicDom1)=1,DicDom1+10,DicDom1+17)</f>
        <v>43082</v>
      </c>
      <c r="F6" s="10">
        <f>IF(DAY(DicDom1)=1,DicDom1+11,DicDom1+18)</f>
        <v>43083</v>
      </c>
      <c r="G6" s="10">
        <f>IF(DAY(DicDom1)=1,DicDom1+12,DicDom1+19)</f>
        <v>43084</v>
      </c>
      <c r="H6" s="10">
        <f>IF(DAY(DicDom1)=1,DicDom1+13,DicDom1+20)</f>
        <v>43085</v>
      </c>
      <c r="I6" s="10">
        <f>IF(DAY(DicDom1)=1,DicDom1+14,DicDom1+21)</f>
        <v>43086</v>
      </c>
      <c r="J6" s="5"/>
      <c r="K6" s="78"/>
      <c r="L6" s="17"/>
      <c r="M6" s="71"/>
      <c r="N6" s="72"/>
    </row>
    <row r="7" spans="1:14" ht="18" customHeight="1" x14ac:dyDescent="0.2">
      <c r="A7" s="4"/>
      <c r="B7" s="109"/>
      <c r="C7" s="10">
        <f>IF(DAY(DicDom1)=1,DicDom1+15,DicDom1+22)</f>
        <v>43087</v>
      </c>
      <c r="D7" s="10">
        <f>IF(DAY(DicDom1)=1,DicDom1+16,DicDom1+23)</f>
        <v>43088</v>
      </c>
      <c r="E7" s="10">
        <f>IF(DAY(DicDom1)=1,DicDom1+17,DicDom1+24)</f>
        <v>43089</v>
      </c>
      <c r="F7" s="10">
        <f>IF(DAY(DicDom1)=1,DicDom1+18,DicDom1+25)</f>
        <v>43090</v>
      </c>
      <c r="G7" s="10">
        <f>IF(DAY(DicDom1)=1,DicDom1+19,DicDom1+26)</f>
        <v>43091</v>
      </c>
      <c r="H7" s="10">
        <f>IF(DAY(DicDom1)=1,DicDom1+20,DicDom1+27)</f>
        <v>43092</v>
      </c>
      <c r="I7" s="10">
        <f>IF(DAY(DicDom1)=1,DicDom1+21,DicDom1+28)</f>
        <v>43093</v>
      </c>
      <c r="J7" s="5"/>
      <c r="K7" s="11"/>
      <c r="L7" s="17"/>
      <c r="M7" s="71"/>
      <c r="N7" s="72"/>
    </row>
    <row r="8" spans="1:14" ht="18.75" customHeight="1" x14ac:dyDescent="0.2">
      <c r="A8" s="4"/>
      <c r="B8" s="109"/>
      <c r="C8" s="10">
        <f>IF(DAY(DicDom1)=1,DicDom1+22,DicDom1+29)</f>
        <v>43094</v>
      </c>
      <c r="D8" s="10">
        <f>IF(DAY(DicDom1)=1,DicDom1+23,DicDom1+30)</f>
        <v>43095</v>
      </c>
      <c r="E8" s="10">
        <f>IF(DAY(DicDom1)=1,DicDom1+24,DicDom1+31)</f>
        <v>43096</v>
      </c>
      <c r="F8" s="10">
        <f>IF(DAY(DicDom1)=1,DicDom1+25,DicDom1+32)</f>
        <v>43097</v>
      </c>
      <c r="G8" s="10">
        <f>IF(DAY(DicDom1)=1,DicDom1+26,DicDom1+33)</f>
        <v>43098</v>
      </c>
      <c r="H8" s="10">
        <f>IF(DAY(DicDom1)=1,DicDom1+27,DicDom1+34)</f>
        <v>43099</v>
      </c>
      <c r="I8" s="10">
        <f>IF(DAY(DicDom1)=1,DicDom1+28,DicDom1+35)</f>
        <v>43100</v>
      </c>
      <c r="J8" s="5"/>
      <c r="K8" s="11"/>
      <c r="L8" s="17"/>
      <c r="M8" s="71"/>
      <c r="N8" s="72"/>
    </row>
    <row r="9" spans="1:14" ht="18" customHeight="1" x14ac:dyDescent="0.2">
      <c r="A9" s="4"/>
      <c r="B9" s="109"/>
      <c r="C9" s="10">
        <f>IF(DAY(DicDom1)=1,DicDom1+29,DicDom1+36)</f>
        <v>43101</v>
      </c>
      <c r="D9" s="10">
        <f>IF(DAY(DicDom1)=1,DicDom1+30,DicDom1+37)</f>
        <v>43102</v>
      </c>
      <c r="E9" s="10">
        <f>IF(DAY(DicDom1)=1,DicDom1+31,DicDom1+38)</f>
        <v>43103</v>
      </c>
      <c r="F9" s="10">
        <f>IF(DAY(DicDom1)=1,DicDom1+32,DicDom1+39)</f>
        <v>43104</v>
      </c>
      <c r="G9" s="10">
        <f>IF(DAY(DicDom1)=1,DicDom1+33,DicDom1+40)</f>
        <v>43105</v>
      </c>
      <c r="H9" s="10">
        <f>IF(DAY(DicDom1)=1,DicDom1+34,DicDom1+41)</f>
        <v>43106</v>
      </c>
      <c r="I9" s="10">
        <f>IF(DAY(DicDom1)=1,DicDom1+35,DicDom1+42)</f>
        <v>43107</v>
      </c>
      <c r="J9" s="5"/>
      <c r="K9" s="12"/>
      <c r="L9" s="18"/>
      <c r="M9" s="73"/>
      <c r="N9" s="74"/>
    </row>
    <row r="10" spans="1:14" ht="18" customHeight="1" x14ac:dyDescent="0.2">
      <c r="A10" s="4"/>
      <c r="B10" s="110"/>
      <c r="C10" s="23"/>
      <c r="D10" s="23"/>
      <c r="E10" s="23"/>
      <c r="F10" s="23"/>
      <c r="G10" s="23"/>
      <c r="H10" s="23"/>
      <c r="I10" s="23"/>
      <c r="J10" s="24"/>
      <c r="K10" s="77" t="s">
        <v>17</v>
      </c>
      <c r="L10" s="16"/>
      <c r="M10" s="75"/>
      <c r="N10" s="76"/>
    </row>
    <row r="11" spans="1:14" ht="18" customHeight="1" x14ac:dyDescent="0.2">
      <c r="A11" s="4"/>
      <c r="B11" s="111" t="s">
        <v>15</v>
      </c>
      <c r="C11" s="112"/>
      <c r="D11" s="112"/>
      <c r="E11" s="112"/>
      <c r="F11" s="112"/>
      <c r="G11" s="112"/>
      <c r="H11" s="112"/>
      <c r="I11" s="112"/>
      <c r="J11" s="113"/>
      <c r="K11" s="78"/>
      <c r="L11" s="17"/>
      <c r="M11" s="71"/>
      <c r="N11" s="72"/>
    </row>
    <row r="12" spans="1:14" ht="18" customHeight="1" x14ac:dyDescent="0.2">
      <c r="A12" s="4"/>
      <c r="B12" s="111"/>
      <c r="C12" s="112"/>
      <c r="D12" s="112"/>
      <c r="E12" s="112"/>
      <c r="F12" s="112"/>
      <c r="G12" s="112"/>
      <c r="H12" s="112"/>
      <c r="I12" s="112"/>
      <c r="J12" s="113"/>
      <c r="K12" s="78"/>
      <c r="L12" s="17"/>
      <c r="M12" s="71"/>
      <c r="N12" s="72"/>
    </row>
    <row r="13" spans="1:14" ht="18" customHeight="1" x14ac:dyDescent="0.2">
      <c r="B13" s="3" t="s">
        <v>16</v>
      </c>
      <c r="C13" s="79" t="s">
        <v>17</v>
      </c>
      <c r="D13" s="81"/>
      <c r="E13" s="79" t="s">
        <v>18</v>
      </c>
      <c r="F13" s="81"/>
      <c r="G13" s="79" t="s">
        <v>19</v>
      </c>
      <c r="H13" s="81"/>
      <c r="I13" s="79" t="s">
        <v>20</v>
      </c>
      <c r="J13" s="80"/>
      <c r="K13" s="11"/>
      <c r="L13" s="17"/>
      <c r="M13" s="71"/>
      <c r="N13" s="72"/>
    </row>
    <row r="14" spans="1:14" ht="18" customHeight="1" x14ac:dyDescent="0.2">
      <c r="B14" s="8" t="s">
        <v>2</v>
      </c>
      <c r="C14" s="93"/>
      <c r="D14" s="94"/>
      <c r="E14" s="93" t="s">
        <v>2</v>
      </c>
      <c r="F14" s="94"/>
      <c r="G14" s="93"/>
      <c r="H14" s="94"/>
      <c r="I14" s="93" t="s">
        <v>2</v>
      </c>
      <c r="J14" s="102"/>
      <c r="K14" s="11"/>
      <c r="L14" s="17"/>
      <c r="M14" s="71"/>
      <c r="N14" s="72"/>
    </row>
    <row r="15" spans="1:14" ht="18" customHeight="1" x14ac:dyDescent="0.2">
      <c r="B15" s="6" t="s">
        <v>21</v>
      </c>
      <c r="C15" s="91"/>
      <c r="D15" s="92"/>
      <c r="E15" s="91" t="s">
        <v>21</v>
      </c>
      <c r="F15" s="92"/>
      <c r="G15" s="91"/>
      <c r="H15" s="92"/>
      <c r="I15" s="99" t="s">
        <v>21</v>
      </c>
      <c r="J15" s="100"/>
      <c r="K15" s="13"/>
      <c r="L15" s="19"/>
      <c r="M15" s="73"/>
      <c r="N15" s="74"/>
    </row>
    <row r="16" spans="1:14" ht="18" customHeight="1" x14ac:dyDescent="0.2">
      <c r="B16" s="8"/>
      <c r="C16" s="93" t="s">
        <v>3</v>
      </c>
      <c r="D16" s="94"/>
      <c r="E16" s="93"/>
      <c r="F16" s="94"/>
      <c r="G16" s="93" t="s">
        <v>3</v>
      </c>
      <c r="H16" s="94"/>
      <c r="I16" s="103"/>
      <c r="J16" s="104"/>
      <c r="K16" s="69" t="s">
        <v>18</v>
      </c>
      <c r="L16" s="16"/>
      <c r="M16" s="75"/>
      <c r="N16" s="76"/>
    </row>
    <row r="17" spans="2:14" ht="18" customHeight="1" x14ac:dyDescent="0.2">
      <c r="B17" s="6"/>
      <c r="C17" s="91" t="s">
        <v>22</v>
      </c>
      <c r="D17" s="92"/>
      <c r="E17" s="91"/>
      <c r="F17" s="92"/>
      <c r="G17" s="91" t="s">
        <v>22</v>
      </c>
      <c r="H17" s="92"/>
      <c r="I17" s="99"/>
      <c r="J17" s="100"/>
      <c r="K17" s="70"/>
      <c r="L17" s="17"/>
      <c r="M17" s="71"/>
      <c r="N17" s="72"/>
    </row>
    <row r="18" spans="2:14" ht="18" customHeight="1" x14ac:dyDescent="0.2">
      <c r="B18" s="9" t="s">
        <v>5</v>
      </c>
      <c r="C18" s="95"/>
      <c r="D18" s="96"/>
      <c r="E18" s="95" t="s">
        <v>5</v>
      </c>
      <c r="F18" s="96"/>
      <c r="G18" s="95"/>
      <c r="H18" s="96"/>
      <c r="I18" s="95" t="s">
        <v>5</v>
      </c>
      <c r="J18" s="101"/>
      <c r="K18" s="70"/>
      <c r="L18" s="17"/>
      <c r="M18" s="71"/>
      <c r="N18" s="72"/>
    </row>
    <row r="19" spans="2:14" ht="18" customHeight="1" x14ac:dyDescent="0.2">
      <c r="B19" s="6" t="s">
        <v>23</v>
      </c>
      <c r="C19" s="91"/>
      <c r="D19" s="92"/>
      <c r="E19" s="91" t="s">
        <v>23</v>
      </c>
      <c r="F19" s="92"/>
      <c r="G19" s="91"/>
      <c r="H19" s="92"/>
      <c r="I19" s="99" t="s">
        <v>23</v>
      </c>
      <c r="J19" s="100"/>
      <c r="K19" s="11"/>
      <c r="L19" s="17"/>
      <c r="M19" s="71"/>
      <c r="N19" s="72"/>
    </row>
    <row r="20" spans="2:14" ht="18" customHeight="1" x14ac:dyDescent="0.2">
      <c r="B20" s="8"/>
      <c r="C20" s="93"/>
      <c r="D20" s="94"/>
      <c r="E20" s="93"/>
      <c r="F20" s="94"/>
      <c r="G20" s="93"/>
      <c r="H20" s="94"/>
      <c r="I20" s="93"/>
      <c r="J20" s="102"/>
      <c r="K20" s="11"/>
      <c r="L20" s="17"/>
      <c r="M20" s="71"/>
      <c r="N20" s="72"/>
    </row>
    <row r="21" spans="2:14" ht="18" customHeight="1" x14ac:dyDescent="0.2">
      <c r="B21" s="6"/>
      <c r="C21" s="91"/>
      <c r="D21" s="92"/>
      <c r="E21" s="91"/>
      <c r="F21" s="92"/>
      <c r="G21" s="91"/>
      <c r="H21" s="92"/>
      <c r="I21" s="105"/>
      <c r="J21" s="106"/>
      <c r="K21" s="13"/>
      <c r="L21" s="19"/>
      <c r="M21" s="73"/>
      <c r="N21" s="74"/>
    </row>
    <row r="22" spans="2:14" ht="18" customHeight="1" x14ac:dyDescent="0.2">
      <c r="B22" s="8"/>
      <c r="C22" s="93"/>
      <c r="D22" s="94"/>
      <c r="E22" s="93"/>
      <c r="F22" s="94"/>
      <c r="G22" s="93"/>
      <c r="H22" s="94"/>
      <c r="I22" s="93"/>
      <c r="J22" s="102"/>
      <c r="K22" s="69" t="s">
        <v>19</v>
      </c>
      <c r="L22" s="16"/>
      <c r="M22" s="75"/>
      <c r="N22" s="76"/>
    </row>
    <row r="23" spans="2:14" ht="18" customHeight="1" x14ac:dyDescent="0.2">
      <c r="B23" s="6"/>
      <c r="C23" s="91"/>
      <c r="D23" s="92"/>
      <c r="E23" s="91"/>
      <c r="F23" s="92"/>
      <c r="G23" s="91"/>
      <c r="H23" s="92"/>
      <c r="I23" s="99"/>
      <c r="J23" s="100"/>
      <c r="K23" s="70"/>
      <c r="L23" s="17"/>
      <c r="M23" s="71"/>
      <c r="N23" s="72"/>
    </row>
    <row r="24" spans="2:14" ht="18" customHeight="1" x14ac:dyDescent="0.2">
      <c r="B24" s="8"/>
      <c r="C24" s="93"/>
      <c r="D24" s="94"/>
      <c r="E24" s="93"/>
      <c r="F24" s="94"/>
      <c r="G24" s="93"/>
      <c r="H24" s="94"/>
      <c r="I24" s="93"/>
      <c r="J24" s="102"/>
      <c r="K24" s="70"/>
      <c r="L24" s="17"/>
      <c r="M24" s="71"/>
      <c r="N24" s="72"/>
    </row>
    <row r="25" spans="2:14" ht="18" customHeight="1" x14ac:dyDescent="0.2">
      <c r="B25" s="6"/>
      <c r="C25" s="91"/>
      <c r="D25" s="92"/>
      <c r="E25" s="91"/>
      <c r="F25" s="92"/>
      <c r="G25" s="91"/>
      <c r="H25" s="92"/>
      <c r="I25" s="99"/>
      <c r="J25" s="100"/>
      <c r="K25" s="70"/>
      <c r="L25" s="17"/>
      <c r="M25" s="71"/>
      <c r="N25" s="72"/>
    </row>
    <row r="26" spans="2:14" ht="18" customHeight="1" x14ac:dyDescent="0.2">
      <c r="B26" s="8" t="s">
        <v>4</v>
      </c>
      <c r="C26" s="93"/>
      <c r="D26" s="94"/>
      <c r="E26" s="93" t="s">
        <v>4</v>
      </c>
      <c r="F26" s="94"/>
      <c r="G26" s="93"/>
      <c r="H26" s="94"/>
      <c r="I26" s="93" t="s">
        <v>4</v>
      </c>
      <c r="J26" s="102"/>
      <c r="K26" s="11"/>
      <c r="L26" s="17"/>
      <c r="M26" s="71"/>
      <c r="N26" s="72"/>
    </row>
    <row r="27" spans="2:14" ht="18" customHeight="1" x14ac:dyDescent="0.2">
      <c r="B27" s="6" t="s">
        <v>24</v>
      </c>
      <c r="C27" s="91"/>
      <c r="D27" s="92"/>
      <c r="E27" s="91" t="s">
        <v>24</v>
      </c>
      <c r="F27" s="92"/>
      <c r="G27" s="91"/>
      <c r="H27" s="92"/>
      <c r="I27" s="99" t="s">
        <v>24</v>
      </c>
      <c r="J27" s="100"/>
      <c r="K27" s="13"/>
      <c r="L27" s="19"/>
      <c r="M27" s="73"/>
      <c r="N27" s="74"/>
    </row>
    <row r="28" spans="2:14" ht="18" customHeight="1" x14ac:dyDescent="0.2">
      <c r="B28" s="8"/>
      <c r="C28" s="93"/>
      <c r="D28" s="94"/>
      <c r="E28" s="93"/>
      <c r="F28" s="94"/>
      <c r="G28" s="93"/>
      <c r="H28" s="94"/>
      <c r="I28" s="93"/>
      <c r="J28" s="102"/>
      <c r="K28" s="77" t="s">
        <v>20</v>
      </c>
      <c r="L28" s="16"/>
      <c r="M28" s="75"/>
      <c r="N28" s="76"/>
    </row>
    <row r="29" spans="2:14" ht="18" customHeight="1" x14ac:dyDescent="0.2">
      <c r="B29" s="6"/>
      <c r="C29" s="91"/>
      <c r="D29" s="92"/>
      <c r="E29" s="91"/>
      <c r="F29" s="92"/>
      <c r="G29" s="91"/>
      <c r="H29" s="92"/>
      <c r="I29" s="91"/>
      <c r="J29" s="107"/>
      <c r="K29" s="78"/>
      <c r="L29" s="17"/>
      <c r="M29" s="71"/>
      <c r="N29" s="72"/>
    </row>
    <row r="30" spans="2:14" ht="18" customHeight="1" x14ac:dyDescent="0.2">
      <c r="B30" s="8"/>
      <c r="C30" s="93" t="s">
        <v>6</v>
      </c>
      <c r="D30" s="94"/>
      <c r="E30" s="93"/>
      <c r="F30" s="94"/>
      <c r="G30" s="93" t="s">
        <v>6</v>
      </c>
      <c r="H30" s="94"/>
      <c r="I30" s="116"/>
      <c r="J30" s="117"/>
      <c r="K30" s="78"/>
      <c r="L30" s="17"/>
      <c r="M30" s="71"/>
      <c r="N30" s="72"/>
    </row>
    <row r="31" spans="2:14" ht="18" customHeight="1" x14ac:dyDescent="0.2">
      <c r="B31" s="6"/>
      <c r="C31" s="91" t="s">
        <v>25</v>
      </c>
      <c r="D31" s="92"/>
      <c r="E31" s="91"/>
      <c r="F31" s="92"/>
      <c r="G31" s="91" t="s">
        <v>25</v>
      </c>
      <c r="H31" s="92"/>
      <c r="I31" s="91"/>
      <c r="J31" s="107"/>
      <c r="K31" s="14"/>
      <c r="L31" s="17"/>
      <c r="M31" s="71"/>
      <c r="N31" s="72"/>
    </row>
    <row r="32" spans="2:14" ht="18" customHeight="1" x14ac:dyDescent="0.2">
      <c r="B32" s="8"/>
      <c r="C32" s="93"/>
      <c r="D32" s="94"/>
      <c r="E32" s="93"/>
      <c r="F32" s="94"/>
      <c r="G32" s="93"/>
      <c r="H32" s="94"/>
      <c r="I32" s="103"/>
      <c r="J32" s="104"/>
      <c r="K32" s="14"/>
      <c r="L32" s="17"/>
      <c r="M32" s="71"/>
      <c r="N32" s="72"/>
    </row>
    <row r="33" spans="2:14" ht="18" customHeight="1" x14ac:dyDescent="0.2">
      <c r="B33" s="7"/>
      <c r="C33" s="97"/>
      <c r="D33" s="98"/>
      <c r="E33" s="97"/>
      <c r="F33" s="98"/>
      <c r="G33" s="97"/>
      <c r="H33" s="98"/>
      <c r="I33" s="118"/>
      <c r="J33" s="119"/>
      <c r="K33" s="15"/>
      <c r="L33" s="20"/>
      <c r="M33" s="114"/>
      <c r="N33" s="115"/>
    </row>
  </sheetData>
  <mergeCells count="122">
    <mergeCell ref="C33:D33"/>
    <mergeCell ref="E33:F33"/>
    <mergeCell ref="G33:H33"/>
    <mergeCell ref="I33:J33"/>
    <mergeCell ref="M33:N33"/>
    <mergeCell ref="C31:D31"/>
    <mergeCell ref="E31:F31"/>
    <mergeCell ref="G31:H31"/>
    <mergeCell ref="I31:J31"/>
    <mergeCell ref="M31:N31"/>
    <mergeCell ref="C32:D32"/>
    <mergeCell ref="E32:F32"/>
    <mergeCell ref="G32:H32"/>
    <mergeCell ref="I32:J32"/>
    <mergeCell ref="M32:N32"/>
    <mergeCell ref="M29:N29"/>
    <mergeCell ref="C30:D30"/>
    <mergeCell ref="E30:F30"/>
    <mergeCell ref="G30:H30"/>
    <mergeCell ref="I30:J30"/>
    <mergeCell ref="M30:N30"/>
    <mergeCell ref="C28:D28"/>
    <mergeCell ref="E28:F28"/>
    <mergeCell ref="G28:H28"/>
    <mergeCell ref="I28:J28"/>
    <mergeCell ref="K28:K30"/>
    <mergeCell ref="M28:N28"/>
    <mergeCell ref="C29:D29"/>
    <mergeCell ref="E29:F29"/>
    <mergeCell ref="G29:H29"/>
    <mergeCell ref="I29:J29"/>
    <mergeCell ref="I25:J25"/>
    <mergeCell ref="M25:N25"/>
    <mergeCell ref="C26:D26"/>
    <mergeCell ref="E26:F26"/>
    <mergeCell ref="G26:H26"/>
    <mergeCell ref="I26:J26"/>
    <mergeCell ref="M26:N26"/>
    <mergeCell ref="C27:D27"/>
    <mergeCell ref="E27:F27"/>
    <mergeCell ref="G27:H27"/>
    <mergeCell ref="I27:J27"/>
    <mergeCell ref="M27:N27"/>
    <mergeCell ref="M22:N22"/>
    <mergeCell ref="C23:D23"/>
    <mergeCell ref="E23:F23"/>
    <mergeCell ref="G23:H23"/>
    <mergeCell ref="I23:J23"/>
    <mergeCell ref="M23:N23"/>
    <mergeCell ref="C21:D21"/>
    <mergeCell ref="E21:F21"/>
    <mergeCell ref="G21:H21"/>
    <mergeCell ref="I21:J21"/>
    <mergeCell ref="M21:N21"/>
    <mergeCell ref="C22:D22"/>
    <mergeCell ref="E22:F22"/>
    <mergeCell ref="G22:H22"/>
    <mergeCell ref="I22:J22"/>
    <mergeCell ref="K22:K25"/>
    <mergeCell ref="C24:D24"/>
    <mergeCell ref="E24:F24"/>
    <mergeCell ref="G24:H24"/>
    <mergeCell ref="I24:J24"/>
    <mergeCell ref="M24:N24"/>
    <mergeCell ref="C25:D25"/>
    <mergeCell ref="E25:F25"/>
    <mergeCell ref="G25:H25"/>
    <mergeCell ref="C19:D19"/>
    <mergeCell ref="E19:F19"/>
    <mergeCell ref="G19:H19"/>
    <mergeCell ref="I19:J19"/>
    <mergeCell ref="M19:N19"/>
    <mergeCell ref="C20:D20"/>
    <mergeCell ref="E20:F20"/>
    <mergeCell ref="G20:H20"/>
    <mergeCell ref="I20:J20"/>
    <mergeCell ref="M20:N20"/>
    <mergeCell ref="M17:N17"/>
    <mergeCell ref="C18:D18"/>
    <mergeCell ref="E18:F18"/>
    <mergeCell ref="G18:H18"/>
    <mergeCell ref="I18:J18"/>
    <mergeCell ref="M18:N18"/>
    <mergeCell ref="C16:D16"/>
    <mergeCell ref="E16:F16"/>
    <mergeCell ref="G16:H16"/>
    <mergeCell ref="I16:J16"/>
    <mergeCell ref="K16:K18"/>
    <mergeCell ref="M16:N16"/>
    <mergeCell ref="C17:D17"/>
    <mergeCell ref="E17:F17"/>
    <mergeCell ref="G17:H17"/>
    <mergeCell ref="I17:J17"/>
    <mergeCell ref="C14:D14"/>
    <mergeCell ref="E14:F14"/>
    <mergeCell ref="G14:H14"/>
    <mergeCell ref="I14:J14"/>
    <mergeCell ref="M14:N14"/>
    <mergeCell ref="C15:D15"/>
    <mergeCell ref="E15:F15"/>
    <mergeCell ref="G15:H15"/>
    <mergeCell ref="I15:J15"/>
    <mergeCell ref="M15:N15"/>
    <mergeCell ref="M10:N10"/>
    <mergeCell ref="B11:J12"/>
    <mergeCell ref="M11:N11"/>
    <mergeCell ref="M12:N12"/>
    <mergeCell ref="C13:D13"/>
    <mergeCell ref="E13:F13"/>
    <mergeCell ref="G13:H13"/>
    <mergeCell ref="I13:J13"/>
    <mergeCell ref="M13:N13"/>
    <mergeCell ref="B2:B10"/>
    <mergeCell ref="K2:M3"/>
    <mergeCell ref="K4:K6"/>
    <mergeCell ref="M4:N4"/>
    <mergeCell ref="M5:N5"/>
    <mergeCell ref="M6:N6"/>
    <mergeCell ref="M7:N7"/>
    <mergeCell ref="M8:N8"/>
    <mergeCell ref="M9:N9"/>
    <mergeCell ref="K10:K12"/>
  </mergeCells>
  <conditionalFormatting sqref="C4:H4">
    <cfRule type="expression" dxfId="3" priority="3" stopIfTrue="1">
      <formula>DAY(C4)&gt;8</formula>
    </cfRule>
  </conditionalFormatting>
  <conditionalFormatting sqref="C8:I10">
    <cfRule type="expression" dxfId="2" priority="2" stopIfTrue="1">
      <formula>AND(DAY(C8)&gt;=1,DAY(C8)&lt;=15)</formula>
    </cfRule>
  </conditionalFormatting>
  <conditionalFormatting sqref="C4:I9">
    <cfRule type="expression" dxfId="1" priority="4">
      <formula>VLOOKUP(DAY(C4),DíasDeTareas,1,FALSE)=DAY(C4)</formula>
    </cfRule>
  </conditionalFormatting>
  <conditionalFormatting sqref="B14:J33">
    <cfRule type="expression" dxfId="0" priority="1">
      <formula>B14&lt;&gt;""</formula>
    </cfRule>
  </conditionalFormatting>
  <printOptions horizontalCentered="1"/>
  <pageMargins left="0.5" right="0.5" top="0.5" bottom="0.5" header="0.3" footer="0.3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T39"/>
  <sheetViews>
    <sheetView tabSelected="1" view="pageBreakPreview" zoomScale="80" zoomScaleNormal="90" zoomScaleSheetLayoutView="80" workbookViewId="0">
      <selection activeCell="G41" sqref="G41"/>
    </sheetView>
  </sheetViews>
  <sheetFormatPr baseColWidth="10" defaultColWidth="9.140625" defaultRowHeight="16.5" x14ac:dyDescent="0.3"/>
  <cols>
    <col min="1" max="3" width="9.7109375" style="33" customWidth="1"/>
    <col min="4" max="4" width="0.7109375" style="33" customWidth="1"/>
    <col min="5" max="7" width="10.7109375" style="33" customWidth="1"/>
    <col min="8" max="8" width="0.7109375" style="33" customWidth="1"/>
    <col min="9" max="10" width="15.28515625" style="33" customWidth="1"/>
    <col min="11" max="11" width="0.7109375" style="33" customWidth="1"/>
    <col min="12" max="12" width="15.28515625" style="33" customWidth="1"/>
    <col min="13" max="13" width="0.7109375" style="33" customWidth="1"/>
    <col min="14" max="16" width="22.7109375" style="33" customWidth="1"/>
    <col min="17" max="17" width="0.7109375" style="33" customWidth="1"/>
    <col min="18" max="20" width="10.7109375" style="33" customWidth="1"/>
    <col min="21" max="256" width="9.140625" style="33"/>
    <col min="257" max="259" width="12.5703125" style="33" customWidth="1"/>
    <col min="260" max="260" width="0.7109375" style="33" customWidth="1"/>
    <col min="261" max="263" width="14.28515625" style="33" customWidth="1"/>
    <col min="264" max="264" width="0.7109375" style="33" customWidth="1"/>
    <col min="265" max="266" width="15.28515625" style="33" customWidth="1"/>
    <col min="267" max="267" width="0.7109375" style="33" customWidth="1"/>
    <col min="268" max="268" width="15.28515625" style="33" customWidth="1"/>
    <col min="269" max="269" width="0.7109375" style="33" customWidth="1"/>
    <col min="270" max="272" width="26.28515625" style="33" customWidth="1"/>
    <col min="273" max="273" width="0.7109375" style="33" customWidth="1"/>
    <col min="274" max="276" width="15.28515625" style="33" customWidth="1"/>
    <col min="277" max="512" width="9.140625" style="33"/>
    <col min="513" max="515" width="12.5703125" style="33" customWidth="1"/>
    <col min="516" max="516" width="0.7109375" style="33" customWidth="1"/>
    <col min="517" max="519" width="14.28515625" style="33" customWidth="1"/>
    <col min="520" max="520" width="0.7109375" style="33" customWidth="1"/>
    <col min="521" max="522" width="15.28515625" style="33" customWidth="1"/>
    <col min="523" max="523" width="0.7109375" style="33" customWidth="1"/>
    <col min="524" max="524" width="15.28515625" style="33" customWidth="1"/>
    <col min="525" max="525" width="0.7109375" style="33" customWidth="1"/>
    <col min="526" max="528" width="26.28515625" style="33" customWidth="1"/>
    <col min="529" max="529" width="0.7109375" style="33" customWidth="1"/>
    <col min="530" max="532" width="15.28515625" style="33" customWidth="1"/>
    <col min="533" max="768" width="9.140625" style="33"/>
    <col min="769" max="771" width="12.5703125" style="33" customWidth="1"/>
    <col min="772" max="772" width="0.7109375" style="33" customWidth="1"/>
    <col min="773" max="775" width="14.28515625" style="33" customWidth="1"/>
    <col min="776" max="776" width="0.7109375" style="33" customWidth="1"/>
    <col min="777" max="778" width="15.28515625" style="33" customWidth="1"/>
    <col min="779" max="779" width="0.7109375" style="33" customWidth="1"/>
    <col min="780" max="780" width="15.28515625" style="33" customWidth="1"/>
    <col min="781" max="781" width="0.7109375" style="33" customWidth="1"/>
    <col min="782" max="784" width="26.28515625" style="33" customWidth="1"/>
    <col min="785" max="785" width="0.7109375" style="33" customWidth="1"/>
    <col min="786" max="788" width="15.28515625" style="33" customWidth="1"/>
    <col min="789" max="1024" width="9.140625" style="33"/>
    <col min="1025" max="1027" width="12.5703125" style="33" customWidth="1"/>
    <col min="1028" max="1028" width="0.7109375" style="33" customWidth="1"/>
    <col min="1029" max="1031" width="14.28515625" style="33" customWidth="1"/>
    <col min="1032" max="1032" width="0.7109375" style="33" customWidth="1"/>
    <col min="1033" max="1034" width="15.28515625" style="33" customWidth="1"/>
    <col min="1035" max="1035" width="0.7109375" style="33" customWidth="1"/>
    <col min="1036" max="1036" width="15.28515625" style="33" customWidth="1"/>
    <col min="1037" max="1037" width="0.7109375" style="33" customWidth="1"/>
    <col min="1038" max="1040" width="26.28515625" style="33" customWidth="1"/>
    <col min="1041" max="1041" width="0.7109375" style="33" customWidth="1"/>
    <col min="1042" max="1044" width="15.28515625" style="33" customWidth="1"/>
    <col min="1045" max="1280" width="9.140625" style="33"/>
    <col min="1281" max="1283" width="12.5703125" style="33" customWidth="1"/>
    <col min="1284" max="1284" width="0.7109375" style="33" customWidth="1"/>
    <col min="1285" max="1287" width="14.28515625" style="33" customWidth="1"/>
    <col min="1288" max="1288" width="0.7109375" style="33" customWidth="1"/>
    <col min="1289" max="1290" width="15.28515625" style="33" customWidth="1"/>
    <col min="1291" max="1291" width="0.7109375" style="33" customWidth="1"/>
    <col min="1292" max="1292" width="15.28515625" style="33" customWidth="1"/>
    <col min="1293" max="1293" width="0.7109375" style="33" customWidth="1"/>
    <col min="1294" max="1296" width="26.28515625" style="33" customWidth="1"/>
    <col min="1297" max="1297" width="0.7109375" style="33" customWidth="1"/>
    <col min="1298" max="1300" width="15.28515625" style="33" customWidth="1"/>
    <col min="1301" max="1536" width="9.140625" style="33"/>
    <col min="1537" max="1539" width="12.5703125" style="33" customWidth="1"/>
    <col min="1540" max="1540" width="0.7109375" style="33" customWidth="1"/>
    <col min="1541" max="1543" width="14.28515625" style="33" customWidth="1"/>
    <col min="1544" max="1544" width="0.7109375" style="33" customWidth="1"/>
    <col min="1545" max="1546" width="15.28515625" style="33" customWidth="1"/>
    <col min="1547" max="1547" width="0.7109375" style="33" customWidth="1"/>
    <col min="1548" max="1548" width="15.28515625" style="33" customWidth="1"/>
    <col min="1549" max="1549" width="0.7109375" style="33" customWidth="1"/>
    <col min="1550" max="1552" width="26.28515625" style="33" customWidth="1"/>
    <col min="1553" max="1553" width="0.7109375" style="33" customWidth="1"/>
    <col min="1554" max="1556" width="15.28515625" style="33" customWidth="1"/>
    <col min="1557" max="1792" width="9.140625" style="33"/>
    <col min="1793" max="1795" width="12.5703125" style="33" customWidth="1"/>
    <col min="1796" max="1796" width="0.7109375" style="33" customWidth="1"/>
    <col min="1797" max="1799" width="14.28515625" style="33" customWidth="1"/>
    <col min="1800" max="1800" width="0.7109375" style="33" customWidth="1"/>
    <col min="1801" max="1802" width="15.28515625" style="33" customWidth="1"/>
    <col min="1803" max="1803" width="0.7109375" style="33" customWidth="1"/>
    <col min="1804" max="1804" width="15.28515625" style="33" customWidth="1"/>
    <col min="1805" max="1805" width="0.7109375" style="33" customWidth="1"/>
    <col min="1806" max="1808" width="26.28515625" style="33" customWidth="1"/>
    <col min="1809" max="1809" width="0.7109375" style="33" customWidth="1"/>
    <col min="1810" max="1812" width="15.28515625" style="33" customWidth="1"/>
    <col min="1813" max="2048" width="9.140625" style="33"/>
    <col min="2049" max="2051" width="12.5703125" style="33" customWidth="1"/>
    <col min="2052" max="2052" width="0.7109375" style="33" customWidth="1"/>
    <col min="2053" max="2055" width="14.28515625" style="33" customWidth="1"/>
    <col min="2056" max="2056" width="0.7109375" style="33" customWidth="1"/>
    <col min="2057" max="2058" width="15.28515625" style="33" customWidth="1"/>
    <col min="2059" max="2059" width="0.7109375" style="33" customWidth="1"/>
    <col min="2060" max="2060" width="15.28515625" style="33" customWidth="1"/>
    <col min="2061" max="2061" width="0.7109375" style="33" customWidth="1"/>
    <col min="2062" max="2064" width="26.28515625" style="33" customWidth="1"/>
    <col min="2065" max="2065" width="0.7109375" style="33" customWidth="1"/>
    <col min="2066" max="2068" width="15.28515625" style="33" customWidth="1"/>
    <col min="2069" max="2304" width="9.140625" style="33"/>
    <col min="2305" max="2307" width="12.5703125" style="33" customWidth="1"/>
    <col min="2308" max="2308" width="0.7109375" style="33" customWidth="1"/>
    <col min="2309" max="2311" width="14.28515625" style="33" customWidth="1"/>
    <col min="2312" max="2312" width="0.7109375" style="33" customWidth="1"/>
    <col min="2313" max="2314" width="15.28515625" style="33" customWidth="1"/>
    <col min="2315" max="2315" width="0.7109375" style="33" customWidth="1"/>
    <col min="2316" max="2316" width="15.28515625" style="33" customWidth="1"/>
    <col min="2317" max="2317" width="0.7109375" style="33" customWidth="1"/>
    <col min="2318" max="2320" width="26.28515625" style="33" customWidth="1"/>
    <col min="2321" max="2321" width="0.7109375" style="33" customWidth="1"/>
    <col min="2322" max="2324" width="15.28515625" style="33" customWidth="1"/>
    <col min="2325" max="2560" width="9.140625" style="33"/>
    <col min="2561" max="2563" width="12.5703125" style="33" customWidth="1"/>
    <col min="2564" max="2564" width="0.7109375" style="33" customWidth="1"/>
    <col min="2565" max="2567" width="14.28515625" style="33" customWidth="1"/>
    <col min="2568" max="2568" width="0.7109375" style="33" customWidth="1"/>
    <col min="2569" max="2570" width="15.28515625" style="33" customWidth="1"/>
    <col min="2571" max="2571" width="0.7109375" style="33" customWidth="1"/>
    <col min="2572" max="2572" width="15.28515625" style="33" customWidth="1"/>
    <col min="2573" max="2573" width="0.7109375" style="33" customWidth="1"/>
    <col min="2574" max="2576" width="26.28515625" style="33" customWidth="1"/>
    <col min="2577" max="2577" width="0.7109375" style="33" customWidth="1"/>
    <col min="2578" max="2580" width="15.28515625" style="33" customWidth="1"/>
    <col min="2581" max="2816" width="9.140625" style="33"/>
    <col min="2817" max="2819" width="12.5703125" style="33" customWidth="1"/>
    <col min="2820" max="2820" width="0.7109375" style="33" customWidth="1"/>
    <col min="2821" max="2823" width="14.28515625" style="33" customWidth="1"/>
    <col min="2824" max="2824" width="0.7109375" style="33" customWidth="1"/>
    <col min="2825" max="2826" width="15.28515625" style="33" customWidth="1"/>
    <col min="2827" max="2827" width="0.7109375" style="33" customWidth="1"/>
    <col min="2828" max="2828" width="15.28515625" style="33" customWidth="1"/>
    <col min="2829" max="2829" width="0.7109375" style="33" customWidth="1"/>
    <col min="2830" max="2832" width="26.28515625" style="33" customWidth="1"/>
    <col min="2833" max="2833" width="0.7109375" style="33" customWidth="1"/>
    <col min="2834" max="2836" width="15.28515625" style="33" customWidth="1"/>
    <col min="2837" max="3072" width="9.140625" style="33"/>
    <col min="3073" max="3075" width="12.5703125" style="33" customWidth="1"/>
    <col min="3076" max="3076" width="0.7109375" style="33" customWidth="1"/>
    <col min="3077" max="3079" width="14.28515625" style="33" customWidth="1"/>
    <col min="3080" max="3080" width="0.7109375" style="33" customWidth="1"/>
    <col min="3081" max="3082" width="15.28515625" style="33" customWidth="1"/>
    <col min="3083" max="3083" width="0.7109375" style="33" customWidth="1"/>
    <col min="3084" max="3084" width="15.28515625" style="33" customWidth="1"/>
    <col min="3085" max="3085" width="0.7109375" style="33" customWidth="1"/>
    <col min="3086" max="3088" width="26.28515625" style="33" customWidth="1"/>
    <col min="3089" max="3089" width="0.7109375" style="33" customWidth="1"/>
    <col min="3090" max="3092" width="15.28515625" style="33" customWidth="1"/>
    <col min="3093" max="3328" width="9.140625" style="33"/>
    <col min="3329" max="3331" width="12.5703125" style="33" customWidth="1"/>
    <col min="3332" max="3332" width="0.7109375" style="33" customWidth="1"/>
    <col min="3333" max="3335" width="14.28515625" style="33" customWidth="1"/>
    <col min="3336" max="3336" width="0.7109375" style="33" customWidth="1"/>
    <col min="3337" max="3338" width="15.28515625" style="33" customWidth="1"/>
    <col min="3339" max="3339" width="0.7109375" style="33" customWidth="1"/>
    <col min="3340" max="3340" width="15.28515625" style="33" customWidth="1"/>
    <col min="3341" max="3341" width="0.7109375" style="33" customWidth="1"/>
    <col min="3342" max="3344" width="26.28515625" style="33" customWidth="1"/>
    <col min="3345" max="3345" width="0.7109375" style="33" customWidth="1"/>
    <col min="3346" max="3348" width="15.28515625" style="33" customWidth="1"/>
    <col min="3349" max="3584" width="9.140625" style="33"/>
    <col min="3585" max="3587" width="12.5703125" style="33" customWidth="1"/>
    <col min="3588" max="3588" width="0.7109375" style="33" customWidth="1"/>
    <col min="3589" max="3591" width="14.28515625" style="33" customWidth="1"/>
    <col min="3592" max="3592" width="0.7109375" style="33" customWidth="1"/>
    <col min="3593" max="3594" width="15.28515625" style="33" customWidth="1"/>
    <col min="3595" max="3595" width="0.7109375" style="33" customWidth="1"/>
    <col min="3596" max="3596" width="15.28515625" style="33" customWidth="1"/>
    <col min="3597" max="3597" width="0.7109375" style="33" customWidth="1"/>
    <col min="3598" max="3600" width="26.28515625" style="33" customWidth="1"/>
    <col min="3601" max="3601" width="0.7109375" style="33" customWidth="1"/>
    <col min="3602" max="3604" width="15.28515625" style="33" customWidth="1"/>
    <col min="3605" max="3840" width="9.140625" style="33"/>
    <col min="3841" max="3843" width="12.5703125" style="33" customWidth="1"/>
    <col min="3844" max="3844" width="0.7109375" style="33" customWidth="1"/>
    <col min="3845" max="3847" width="14.28515625" style="33" customWidth="1"/>
    <col min="3848" max="3848" width="0.7109375" style="33" customWidth="1"/>
    <col min="3849" max="3850" width="15.28515625" style="33" customWidth="1"/>
    <col min="3851" max="3851" width="0.7109375" style="33" customWidth="1"/>
    <col min="3852" max="3852" width="15.28515625" style="33" customWidth="1"/>
    <col min="3853" max="3853" width="0.7109375" style="33" customWidth="1"/>
    <col min="3854" max="3856" width="26.28515625" style="33" customWidth="1"/>
    <col min="3857" max="3857" width="0.7109375" style="33" customWidth="1"/>
    <col min="3858" max="3860" width="15.28515625" style="33" customWidth="1"/>
    <col min="3861" max="4096" width="9.140625" style="33"/>
    <col min="4097" max="4099" width="12.5703125" style="33" customWidth="1"/>
    <col min="4100" max="4100" width="0.7109375" style="33" customWidth="1"/>
    <col min="4101" max="4103" width="14.28515625" style="33" customWidth="1"/>
    <col min="4104" max="4104" width="0.7109375" style="33" customWidth="1"/>
    <col min="4105" max="4106" width="15.28515625" style="33" customWidth="1"/>
    <col min="4107" max="4107" width="0.7109375" style="33" customWidth="1"/>
    <col min="4108" max="4108" width="15.28515625" style="33" customWidth="1"/>
    <col min="4109" max="4109" width="0.7109375" style="33" customWidth="1"/>
    <col min="4110" max="4112" width="26.28515625" style="33" customWidth="1"/>
    <col min="4113" max="4113" width="0.7109375" style="33" customWidth="1"/>
    <col min="4114" max="4116" width="15.28515625" style="33" customWidth="1"/>
    <col min="4117" max="4352" width="9.140625" style="33"/>
    <col min="4353" max="4355" width="12.5703125" style="33" customWidth="1"/>
    <col min="4356" max="4356" width="0.7109375" style="33" customWidth="1"/>
    <col min="4357" max="4359" width="14.28515625" style="33" customWidth="1"/>
    <col min="4360" max="4360" width="0.7109375" style="33" customWidth="1"/>
    <col min="4361" max="4362" width="15.28515625" style="33" customWidth="1"/>
    <col min="4363" max="4363" width="0.7109375" style="33" customWidth="1"/>
    <col min="4364" max="4364" width="15.28515625" style="33" customWidth="1"/>
    <col min="4365" max="4365" width="0.7109375" style="33" customWidth="1"/>
    <col min="4366" max="4368" width="26.28515625" style="33" customWidth="1"/>
    <col min="4369" max="4369" width="0.7109375" style="33" customWidth="1"/>
    <col min="4370" max="4372" width="15.28515625" style="33" customWidth="1"/>
    <col min="4373" max="4608" width="9.140625" style="33"/>
    <col min="4609" max="4611" width="12.5703125" style="33" customWidth="1"/>
    <col min="4612" max="4612" width="0.7109375" style="33" customWidth="1"/>
    <col min="4613" max="4615" width="14.28515625" style="33" customWidth="1"/>
    <col min="4616" max="4616" width="0.7109375" style="33" customWidth="1"/>
    <col min="4617" max="4618" width="15.28515625" style="33" customWidth="1"/>
    <col min="4619" max="4619" width="0.7109375" style="33" customWidth="1"/>
    <col min="4620" max="4620" width="15.28515625" style="33" customWidth="1"/>
    <col min="4621" max="4621" width="0.7109375" style="33" customWidth="1"/>
    <col min="4622" max="4624" width="26.28515625" style="33" customWidth="1"/>
    <col min="4625" max="4625" width="0.7109375" style="33" customWidth="1"/>
    <col min="4626" max="4628" width="15.28515625" style="33" customWidth="1"/>
    <col min="4629" max="4864" width="9.140625" style="33"/>
    <col min="4865" max="4867" width="12.5703125" style="33" customWidth="1"/>
    <col min="4868" max="4868" width="0.7109375" style="33" customWidth="1"/>
    <col min="4869" max="4871" width="14.28515625" style="33" customWidth="1"/>
    <col min="4872" max="4872" width="0.7109375" style="33" customWidth="1"/>
    <col min="4873" max="4874" width="15.28515625" style="33" customWidth="1"/>
    <col min="4875" max="4875" width="0.7109375" style="33" customWidth="1"/>
    <col min="4876" max="4876" width="15.28515625" style="33" customWidth="1"/>
    <col min="4877" max="4877" width="0.7109375" style="33" customWidth="1"/>
    <col min="4878" max="4880" width="26.28515625" style="33" customWidth="1"/>
    <col min="4881" max="4881" width="0.7109375" style="33" customWidth="1"/>
    <col min="4882" max="4884" width="15.28515625" style="33" customWidth="1"/>
    <col min="4885" max="5120" width="9.140625" style="33"/>
    <col min="5121" max="5123" width="12.5703125" style="33" customWidth="1"/>
    <col min="5124" max="5124" width="0.7109375" style="33" customWidth="1"/>
    <col min="5125" max="5127" width="14.28515625" style="33" customWidth="1"/>
    <col min="5128" max="5128" width="0.7109375" style="33" customWidth="1"/>
    <col min="5129" max="5130" width="15.28515625" style="33" customWidth="1"/>
    <col min="5131" max="5131" width="0.7109375" style="33" customWidth="1"/>
    <col min="5132" max="5132" width="15.28515625" style="33" customWidth="1"/>
    <col min="5133" max="5133" width="0.7109375" style="33" customWidth="1"/>
    <col min="5134" max="5136" width="26.28515625" style="33" customWidth="1"/>
    <col min="5137" max="5137" width="0.7109375" style="33" customWidth="1"/>
    <col min="5138" max="5140" width="15.28515625" style="33" customWidth="1"/>
    <col min="5141" max="5376" width="9.140625" style="33"/>
    <col min="5377" max="5379" width="12.5703125" style="33" customWidth="1"/>
    <col min="5380" max="5380" width="0.7109375" style="33" customWidth="1"/>
    <col min="5381" max="5383" width="14.28515625" style="33" customWidth="1"/>
    <col min="5384" max="5384" width="0.7109375" style="33" customWidth="1"/>
    <col min="5385" max="5386" width="15.28515625" style="33" customWidth="1"/>
    <col min="5387" max="5387" width="0.7109375" style="33" customWidth="1"/>
    <col min="5388" max="5388" width="15.28515625" style="33" customWidth="1"/>
    <col min="5389" max="5389" width="0.7109375" style="33" customWidth="1"/>
    <col min="5390" max="5392" width="26.28515625" style="33" customWidth="1"/>
    <col min="5393" max="5393" width="0.7109375" style="33" customWidth="1"/>
    <col min="5394" max="5396" width="15.28515625" style="33" customWidth="1"/>
    <col min="5397" max="5632" width="9.140625" style="33"/>
    <col min="5633" max="5635" width="12.5703125" style="33" customWidth="1"/>
    <col min="5636" max="5636" width="0.7109375" style="33" customWidth="1"/>
    <col min="5637" max="5639" width="14.28515625" style="33" customWidth="1"/>
    <col min="5640" max="5640" width="0.7109375" style="33" customWidth="1"/>
    <col min="5641" max="5642" width="15.28515625" style="33" customWidth="1"/>
    <col min="5643" max="5643" width="0.7109375" style="33" customWidth="1"/>
    <col min="5644" max="5644" width="15.28515625" style="33" customWidth="1"/>
    <col min="5645" max="5645" width="0.7109375" style="33" customWidth="1"/>
    <col min="5646" max="5648" width="26.28515625" style="33" customWidth="1"/>
    <col min="5649" max="5649" width="0.7109375" style="33" customWidth="1"/>
    <col min="5650" max="5652" width="15.28515625" style="33" customWidth="1"/>
    <col min="5653" max="5888" width="9.140625" style="33"/>
    <col min="5889" max="5891" width="12.5703125" style="33" customWidth="1"/>
    <col min="5892" max="5892" width="0.7109375" style="33" customWidth="1"/>
    <col min="5893" max="5895" width="14.28515625" style="33" customWidth="1"/>
    <col min="5896" max="5896" width="0.7109375" style="33" customWidth="1"/>
    <col min="5897" max="5898" width="15.28515625" style="33" customWidth="1"/>
    <col min="5899" max="5899" width="0.7109375" style="33" customWidth="1"/>
    <col min="5900" max="5900" width="15.28515625" style="33" customWidth="1"/>
    <col min="5901" max="5901" width="0.7109375" style="33" customWidth="1"/>
    <col min="5902" max="5904" width="26.28515625" style="33" customWidth="1"/>
    <col min="5905" max="5905" width="0.7109375" style="33" customWidth="1"/>
    <col min="5906" max="5908" width="15.28515625" style="33" customWidth="1"/>
    <col min="5909" max="6144" width="9.140625" style="33"/>
    <col min="6145" max="6147" width="12.5703125" style="33" customWidth="1"/>
    <col min="6148" max="6148" width="0.7109375" style="33" customWidth="1"/>
    <col min="6149" max="6151" width="14.28515625" style="33" customWidth="1"/>
    <col min="6152" max="6152" width="0.7109375" style="33" customWidth="1"/>
    <col min="6153" max="6154" width="15.28515625" style="33" customWidth="1"/>
    <col min="6155" max="6155" width="0.7109375" style="33" customWidth="1"/>
    <col min="6156" max="6156" width="15.28515625" style="33" customWidth="1"/>
    <col min="6157" max="6157" width="0.7109375" style="33" customWidth="1"/>
    <col min="6158" max="6160" width="26.28515625" style="33" customWidth="1"/>
    <col min="6161" max="6161" width="0.7109375" style="33" customWidth="1"/>
    <col min="6162" max="6164" width="15.28515625" style="33" customWidth="1"/>
    <col min="6165" max="6400" width="9.140625" style="33"/>
    <col min="6401" max="6403" width="12.5703125" style="33" customWidth="1"/>
    <col min="6404" max="6404" width="0.7109375" style="33" customWidth="1"/>
    <col min="6405" max="6407" width="14.28515625" style="33" customWidth="1"/>
    <col min="6408" max="6408" width="0.7109375" style="33" customWidth="1"/>
    <col min="6409" max="6410" width="15.28515625" style="33" customWidth="1"/>
    <col min="6411" max="6411" width="0.7109375" style="33" customWidth="1"/>
    <col min="6412" max="6412" width="15.28515625" style="33" customWidth="1"/>
    <col min="6413" max="6413" width="0.7109375" style="33" customWidth="1"/>
    <col min="6414" max="6416" width="26.28515625" style="33" customWidth="1"/>
    <col min="6417" max="6417" width="0.7109375" style="33" customWidth="1"/>
    <col min="6418" max="6420" width="15.28515625" style="33" customWidth="1"/>
    <col min="6421" max="6656" width="9.140625" style="33"/>
    <col min="6657" max="6659" width="12.5703125" style="33" customWidth="1"/>
    <col min="6660" max="6660" width="0.7109375" style="33" customWidth="1"/>
    <col min="6661" max="6663" width="14.28515625" style="33" customWidth="1"/>
    <col min="6664" max="6664" width="0.7109375" style="33" customWidth="1"/>
    <col min="6665" max="6666" width="15.28515625" style="33" customWidth="1"/>
    <col min="6667" max="6667" width="0.7109375" style="33" customWidth="1"/>
    <col min="6668" max="6668" width="15.28515625" style="33" customWidth="1"/>
    <col min="6669" max="6669" width="0.7109375" style="33" customWidth="1"/>
    <col min="6670" max="6672" width="26.28515625" style="33" customWidth="1"/>
    <col min="6673" max="6673" width="0.7109375" style="33" customWidth="1"/>
    <col min="6674" max="6676" width="15.28515625" style="33" customWidth="1"/>
    <col min="6677" max="6912" width="9.140625" style="33"/>
    <col min="6913" max="6915" width="12.5703125" style="33" customWidth="1"/>
    <col min="6916" max="6916" width="0.7109375" style="33" customWidth="1"/>
    <col min="6917" max="6919" width="14.28515625" style="33" customWidth="1"/>
    <col min="6920" max="6920" width="0.7109375" style="33" customWidth="1"/>
    <col min="6921" max="6922" width="15.28515625" style="33" customWidth="1"/>
    <col min="6923" max="6923" width="0.7109375" style="33" customWidth="1"/>
    <col min="6924" max="6924" width="15.28515625" style="33" customWidth="1"/>
    <col min="6925" max="6925" width="0.7109375" style="33" customWidth="1"/>
    <col min="6926" max="6928" width="26.28515625" style="33" customWidth="1"/>
    <col min="6929" max="6929" width="0.7109375" style="33" customWidth="1"/>
    <col min="6930" max="6932" width="15.28515625" style="33" customWidth="1"/>
    <col min="6933" max="7168" width="9.140625" style="33"/>
    <col min="7169" max="7171" width="12.5703125" style="33" customWidth="1"/>
    <col min="7172" max="7172" width="0.7109375" style="33" customWidth="1"/>
    <col min="7173" max="7175" width="14.28515625" style="33" customWidth="1"/>
    <col min="7176" max="7176" width="0.7109375" style="33" customWidth="1"/>
    <col min="7177" max="7178" width="15.28515625" style="33" customWidth="1"/>
    <col min="7179" max="7179" width="0.7109375" style="33" customWidth="1"/>
    <col min="7180" max="7180" width="15.28515625" style="33" customWidth="1"/>
    <col min="7181" max="7181" width="0.7109375" style="33" customWidth="1"/>
    <col min="7182" max="7184" width="26.28515625" style="33" customWidth="1"/>
    <col min="7185" max="7185" width="0.7109375" style="33" customWidth="1"/>
    <col min="7186" max="7188" width="15.28515625" style="33" customWidth="1"/>
    <col min="7189" max="7424" width="9.140625" style="33"/>
    <col min="7425" max="7427" width="12.5703125" style="33" customWidth="1"/>
    <col min="7428" max="7428" width="0.7109375" style="33" customWidth="1"/>
    <col min="7429" max="7431" width="14.28515625" style="33" customWidth="1"/>
    <col min="7432" max="7432" width="0.7109375" style="33" customWidth="1"/>
    <col min="7433" max="7434" width="15.28515625" style="33" customWidth="1"/>
    <col min="7435" max="7435" width="0.7109375" style="33" customWidth="1"/>
    <col min="7436" max="7436" width="15.28515625" style="33" customWidth="1"/>
    <col min="7437" max="7437" width="0.7109375" style="33" customWidth="1"/>
    <col min="7438" max="7440" width="26.28515625" style="33" customWidth="1"/>
    <col min="7441" max="7441" width="0.7109375" style="33" customWidth="1"/>
    <col min="7442" max="7444" width="15.28515625" style="33" customWidth="1"/>
    <col min="7445" max="7680" width="9.140625" style="33"/>
    <col min="7681" max="7683" width="12.5703125" style="33" customWidth="1"/>
    <col min="7684" max="7684" width="0.7109375" style="33" customWidth="1"/>
    <col min="7685" max="7687" width="14.28515625" style="33" customWidth="1"/>
    <col min="7688" max="7688" width="0.7109375" style="33" customWidth="1"/>
    <col min="7689" max="7690" width="15.28515625" style="33" customWidth="1"/>
    <col min="7691" max="7691" width="0.7109375" style="33" customWidth="1"/>
    <col min="7692" max="7692" width="15.28515625" style="33" customWidth="1"/>
    <col min="7693" max="7693" width="0.7109375" style="33" customWidth="1"/>
    <col min="7694" max="7696" width="26.28515625" style="33" customWidth="1"/>
    <col min="7697" max="7697" width="0.7109375" style="33" customWidth="1"/>
    <col min="7698" max="7700" width="15.28515625" style="33" customWidth="1"/>
    <col min="7701" max="7936" width="9.140625" style="33"/>
    <col min="7937" max="7939" width="12.5703125" style="33" customWidth="1"/>
    <col min="7940" max="7940" width="0.7109375" style="33" customWidth="1"/>
    <col min="7941" max="7943" width="14.28515625" style="33" customWidth="1"/>
    <col min="7944" max="7944" width="0.7109375" style="33" customWidth="1"/>
    <col min="7945" max="7946" width="15.28515625" style="33" customWidth="1"/>
    <col min="7947" max="7947" width="0.7109375" style="33" customWidth="1"/>
    <col min="7948" max="7948" width="15.28515625" style="33" customWidth="1"/>
    <col min="7949" max="7949" width="0.7109375" style="33" customWidth="1"/>
    <col min="7950" max="7952" width="26.28515625" style="33" customWidth="1"/>
    <col min="7953" max="7953" width="0.7109375" style="33" customWidth="1"/>
    <col min="7954" max="7956" width="15.28515625" style="33" customWidth="1"/>
    <col min="7957" max="8192" width="9.140625" style="33"/>
    <col min="8193" max="8195" width="12.5703125" style="33" customWidth="1"/>
    <col min="8196" max="8196" width="0.7109375" style="33" customWidth="1"/>
    <col min="8197" max="8199" width="14.28515625" style="33" customWidth="1"/>
    <col min="8200" max="8200" width="0.7109375" style="33" customWidth="1"/>
    <col min="8201" max="8202" width="15.28515625" style="33" customWidth="1"/>
    <col min="8203" max="8203" width="0.7109375" style="33" customWidth="1"/>
    <col min="8204" max="8204" width="15.28515625" style="33" customWidth="1"/>
    <col min="8205" max="8205" width="0.7109375" style="33" customWidth="1"/>
    <col min="8206" max="8208" width="26.28515625" style="33" customWidth="1"/>
    <col min="8209" max="8209" width="0.7109375" style="33" customWidth="1"/>
    <col min="8210" max="8212" width="15.28515625" style="33" customWidth="1"/>
    <col min="8213" max="8448" width="9.140625" style="33"/>
    <col min="8449" max="8451" width="12.5703125" style="33" customWidth="1"/>
    <col min="8452" max="8452" width="0.7109375" style="33" customWidth="1"/>
    <col min="8453" max="8455" width="14.28515625" style="33" customWidth="1"/>
    <col min="8456" max="8456" width="0.7109375" style="33" customWidth="1"/>
    <col min="8457" max="8458" width="15.28515625" style="33" customWidth="1"/>
    <col min="8459" max="8459" width="0.7109375" style="33" customWidth="1"/>
    <col min="8460" max="8460" width="15.28515625" style="33" customWidth="1"/>
    <col min="8461" max="8461" width="0.7109375" style="33" customWidth="1"/>
    <col min="8462" max="8464" width="26.28515625" style="33" customWidth="1"/>
    <col min="8465" max="8465" width="0.7109375" style="33" customWidth="1"/>
    <col min="8466" max="8468" width="15.28515625" style="33" customWidth="1"/>
    <col min="8469" max="8704" width="9.140625" style="33"/>
    <col min="8705" max="8707" width="12.5703125" style="33" customWidth="1"/>
    <col min="8708" max="8708" width="0.7109375" style="33" customWidth="1"/>
    <col min="8709" max="8711" width="14.28515625" style="33" customWidth="1"/>
    <col min="8712" max="8712" width="0.7109375" style="33" customWidth="1"/>
    <col min="8713" max="8714" width="15.28515625" style="33" customWidth="1"/>
    <col min="8715" max="8715" width="0.7109375" style="33" customWidth="1"/>
    <col min="8716" max="8716" width="15.28515625" style="33" customWidth="1"/>
    <col min="8717" max="8717" width="0.7109375" style="33" customWidth="1"/>
    <col min="8718" max="8720" width="26.28515625" style="33" customWidth="1"/>
    <col min="8721" max="8721" width="0.7109375" style="33" customWidth="1"/>
    <col min="8722" max="8724" width="15.28515625" style="33" customWidth="1"/>
    <col min="8725" max="8960" width="9.140625" style="33"/>
    <col min="8961" max="8963" width="12.5703125" style="33" customWidth="1"/>
    <col min="8964" max="8964" width="0.7109375" style="33" customWidth="1"/>
    <col min="8965" max="8967" width="14.28515625" style="33" customWidth="1"/>
    <col min="8968" max="8968" width="0.7109375" style="33" customWidth="1"/>
    <col min="8969" max="8970" width="15.28515625" style="33" customWidth="1"/>
    <col min="8971" max="8971" width="0.7109375" style="33" customWidth="1"/>
    <col min="8972" max="8972" width="15.28515625" style="33" customWidth="1"/>
    <col min="8973" max="8973" width="0.7109375" style="33" customWidth="1"/>
    <col min="8974" max="8976" width="26.28515625" style="33" customWidth="1"/>
    <col min="8977" max="8977" width="0.7109375" style="33" customWidth="1"/>
    <col min="8978" max="8980" width="15.28515625" style="33" customWidth="1"/>
    <col min="8981" max="9216" width="9.140625" style="33"/>
    <col min="9217" max="9219" width="12.5703125" style="33" customWidth="1"/>
    <col min="9220" max="9220" width="0.7109375" style="33" customWidth="1"/>
    <col min="9221" max="9223" width="14.28515625" style="33" customWidth="1"/>
    <col min="9224" max="9224" width="0.7109375" style="33" customWidth="1"/>
    <col min="9225" max="9226" width="15.28515625" style="33" customWidth="1"/>
    <col min="9227" max="9227" width="0.7109375" style="33" customWidth="1"/>
    <col min="9228" max="9228" width="15.28515625" style="33" customWidth="1"/>
    <col min="9229" max="9229" width="0.7109375" style="33" customWidth="1"/>
    <col min="9230" max="9232" width="26.28515625" style="33" customWidth="1"/>
    <col min="9233" max="9233" width="0.7109375" style="33" customWidth="1"/>
    <col min="9234" max="9236" width="15.28515625" style="33" customWidth="1"/>
    <col min="9237" max="9472" width="9.140625" style="33"/>
    <col min="9473" max="9475" width="12.5703125" style="33" customWidth="1"/>
    <col min="9476" max="9476" width="0.7109375" style="33" customWidth="1"/>
    <col min="9477" max="9479" width="14.28515625" style="33" customWidth="1"/>
    <col min="9480" max="9480" width="0.7109375" style="33" customWidth="1"/>
    <col min="9481" max="9482" width="15.28515625" style="33" customWidth="1"/>
    <col min="9483" max="9483" width="0.7109375" style="33" customWidth="1"/>
    <col min="9484" max="9484" width="15.28515625" style="33" customWidth="1"/>
    <col min="9485" max="9485" width="0.7109375" style="33" customWidth="1"/>
    <col min="9486" max="9488" width="26.28515625" style="33" customWidth="1"/>
    <col min="9489" max="9489" width="0.7109375" style="33" customWidth="1"/>
    <col min="9490" max="9492" width="15.28515625" style="33" customWidth="1"/>
    <col min="9493" max="9728" width="9.140625" style="33"/>
    <col min="9729" max="9731" width="12.5703125" style="33" customWidth="1"/>
    <col min="9732" max="9732" width="0.7109375" style="33" customWidth="1"/>
    <col min="9733" max="9735" width="14.28515625" style="33" customWidth="1"/>
    <col min="9736" max="9736" width="0.7109375" style="33" customWidth="1"/>
    <col min="9737" max="9738" width="15.28515625" style="33" customWidth="1"/>
    <col min="9739" max="9739" width="0.7109375" style="33" customWidth="1"/>
    <col min="9740" max="9740" width="15.28515625" style="33" customWidth="1"/>
    <col min="9741" max="9741" width="0.7109375" style="33" customWidth="1"/>
    <col min="9742" max="9744" width="26.28515625" style="33" customWidth="1"/>
    <col min="9745" max="9745" width="0.7109375" style="33" customWidth="1"/>
    <col min="9746" max="9748" width="15.28515625" style="33" customWidth="1"/>
    <col min="9749" max="9984" width="9.140625" style="33"/>
    <col min="9985" max="9987" width="12.5703125" style="33" customWidth="1"/>
    <col min="9988" max="9988" width="0.7109375" style="33" customWidth="1"/>
    <col min="9989" max="9991" width="14.28515625" style="33" customWidth="1"/>
    <col min="9992" max="9992" width="0.7109375" style="33" customWidth="1"/>
    <col min="9993" max="9994" width="15.28515625" style="33" customWidth="1"/>
    <col min="9995" max="9995" width="0.7109375" style="33" customWidth="1"/>
    <col min="9996" max="9996" width="15.28515625" style="33" customWidth="1"/>
    <col min="9997" max="9997" width="0.7109375" style="33" customWidth="1"/>
    <col min="9998" max="10000" width="26.28515625" style="33" customWidth="1"/>
    <col min="10001" max="10001" width="0.7109375" style="33" customWidth="1"/>
    <col min="10002" max="10004" width="15.28515625" style="33" customWidth="1"/>
    <col min="10005" max="10240" width="9.140625" style="33"/>
    <col min="10241" max="10243" width="12.5703125" style="33" customWidth="1"/>
    <col min="10244" max="10244" width="0.7109375" style="33" customWidth="1"/>
    <col min="10245" max="10247" width="14.28515625" style="33" customWidth="1"/>
    <col min="10248" max="10248" width="0.7109375" style="33" customWidth="1"/>
    <col min="10249" max="10250" width="15.28515625" style="33" customWidth="1"/>
    <col min="10251" max="10251" width="0.7109375" style="33" customWidth="1"/>
    <col min="10252" max="10252" width="15.28515625" style="33" customWidth="1"/>
    <col min="10253" max="10253" width="0.7109375" style="33" customWidth="1"/>
    <col min="10254" max="10256" width="26.28515625" style="33" customWidth="1"/>
    <col min="10257" max="10257" width="0.7109375" style="33" customWidth="1"/>
    <col min="10258" max="10260" width="15.28515625" style="33" customWidth="1"/>
    <col min="10261" max="10496" width="9.140625" style="33"/>
    <col min="10497" max="10499" width="12.5703125" style="33" customWidth="1"/>
    <col min="10500" max="10500" width="0.7109375" style="33" customWidth="1"/>
    <col min="10501" max="10503" width="14.28515625" style="33" customWidth="1"/>
    <col min="10504" max="10504" width="0.7109375" style="33" customWidth="1"/>
    <col min="10505" max="10506" width="15.28515625" style="33" customWidth="1"/>
    <col min="10507" max="10507" width="0.7109375" style="33" customWidth="1"/>
    <col min="10508" max="10508" width="15.28515625" style="33" customWidth="1"/>
    <col min="10509" max="10509" width="0.7109375" style="33" customWidth="1"/>
    <col min="10510" max="10512" width="26.28515625" style="33" customWidth="1"/>
    <col min="10513" max="10513" width="0.7109375" style="33" customWidth="1"/>
    <col min="10514" max="10516" width="15.28515625" style="33" customWidth="1"/>
    <col min="10517" max="10752" width="9.140625" style="33"/>
    <col min="10753" max="10755" width="12.5703125" style="33" customWidth="1"/>
    <col min="10756" max="10756" width="0.7109375" style="33" customWidth="1"/>
    <col min="10757" max="10759" width="14.28515625" style="33" customWidth="1"/>
    <col min="10760" max="10760" width="0.7109375" style="33" customWidth="1"/>
    <col min="10761" max="10762" width="15.28515625" style="33" customWidth="1"/>
    <col min="10763" max="10763" width="0.7109375" style="33" customWidth="1"/>
    <col min="10764" max="10764" width="15.28515625" style="33" customWidth="1"/>
    <col min="10765" max="10765" width="0.7109375" style="33" customWidth="1"/>
    <col min="10766" max="10768" width="26.28515625" style="33" customWidth="1"/>
    <col min="10769" max="10769" width="0.7109375" style="33" customWidth="1"/>
    <col min="10770" max="10772" width="15.28515625" style="33" customWidth="1"/>
    <col min="10773" max="11008" width="9.140625" style="33"/>
    <col min="11009" max="11011" width="12.5703125" style="33" customWidth="1"/>
    <col min="11012" max="11012" width="0.7109375" style="33" customWidth="1"/>
    <col min="11013" max="11015" width="14.28515625" style="33" customWidth="1"/>
    <col min="11016" max="11016" width="0.7109375" style="33" customWidth="1"/>
    <col min="11017" max="11018" width="15.28515625" style="33" customWidth="1"/>
    <col min="11019" max="11019" width="0.7109375" style="33" customWidth="1"/>
    <col min="11020" max="11020" width="15.28515625" style="33" customWidth="1"/>
    <col min="11021" max="11021" width="0.7109375" style="33" customWidth="1"/>
    <col min="11022" max="11024" width="26.28515625" style="33" customWidth="1"/>
    <col min="11025" max="11025" width="0.7109375" style="33" customWidth="1"/>
    <col min="11026" max="11028" width="15.28515625" style="33" customWidth="1"/>
    <col min="11029" max="11264" width="9.140625" style="33"/>
    <col min="11265" max="11267" width="12.5703125" style="33" customWidth="1"/>
    <col min="11268" max="11268" width="0.7109375" style="33" customWidth="1"/>
    <col min="11269" max="11271" width="14.28515625" style="33" customWidth="1"/>
    <col min="11272" max="11272" width="0.7109375" style="33" customWidth="1"/>
    <col min="11273" max="11274" width="15.28515625" style="33" customWidth="1"/>
    <col min="11275" max="11275" width="0.7109375" style="33" customWidth="1"/>
    <col min="11276" max="11276" width="15.28515625" style="33" customWidth="1"/>
    <col min="11277" max="11277" width="0.7109375" style="33" customWidth="1"/>
    <col min="11278" max="11280" width="26.28515625" style="33" customWidth="1"/>
    <col min="11281" max="11281" width="0.7109375" style="33" customWidth="1"/>
    <col min="11282" max="11284" width="15.28515625" style="33" customWidth="1"/>
    <col min="11285" max="11520" width="9.140625" style="33"/>
    <col min="11521" max="11523" width="12.5703125" style="33" customWidth="1"/>
    <col min="11524" max="11524" width="0.7109375" style="33" customWidth="1"/>
    <col min="11525" max="11527" width="14.28515625" style="33" customWidth="1"/>
    <col min="11528" max="11528" width="0.7109375" style="33" customWidth="1"/>
    <col min="11529" max="11530" width="15.28515625" style="33" customWidth="1"/>
    <col min="11531" max="11531" width="0.7109375" style="33" customWidth="1"/>
    <col min="11532" max="11532" width="15.28515625" style="33" customWidth="1"/>
    <col min="11533" max="11533" width="0.7109375" style="33" customWidth="1"/>
    <col min="11534" max="11536" width="26.28515625" style="33" customWidth="1"/>
    <col min="11537" max="11537" width="0.7109375" style="33" customWidth="1"/>
    <col min="11538" max="11540" width="15.28515625" style="33" customWidth="1"/>
    <col min="11541" max="11776" width="9.140625" style="33"/>
    <col min="11777" max="11779" width="12.5703125" style="33" customWidth="1"/>
    <col min="11780" max="11780" width="0.7109375" style="33" customWidth="1"/>
    <col min="11781" max="11783" width="14.28515625" style="33" customWidth="1"/>
    <col min="11784" max="11784" width="0.7109375" style="33" customWidth="1"/>
    <col min="11785" max="11786" width="15.28515625" style="33" customWidth="1"/>
    <col min="11787" max="11787" width="0.7109375" style="33" customWidth="1"/>
    <col min="11788" max="11788" width="15.28515625" style="33" customWidth="1"/>
    <col min="11789" max="11789" width="0.7109375" style="33" customWidth="1"/>
    <col min="11790" max="11792" width="26.28515625" style="33" customWidth="1"/>
    <col min="11793" max="11793" width="0.7109375" style="33" customWidth="1"/>
    <col min="11794" max="11796" width="15.28515625" style="33" customWidth="1"/>
    <col min="11797" max="12032" width="9.140625" style="33"/>
    <col min="12033" max="12035" width="12.5703125" style="33" customWidth="1"/>
    <col min="12036" max="12036" width="0.7109375" style="33" customWidth="1"/>
    <col min="12037" max="12039" width="14.28515625" style="33" customWidth="1"/>
    <col min="12040" max="12040" width="0.7109375" style="33" customWidth="1"/>
    <col min="12041" max="12042" width="15.28515625" style="33" customWidth="1"/>
    <col min="12043" max="12043" width="0.7109375" style="33" customWidth="1"/>
    <col min="12044" max="12044" width="15.28515625" style="33" customWidth="1"/>
    <col min="12045" max="12045" width="0.7109375" style="33" customWidth="1"/>
    <col min="12046" max="12048" width="26.28515625" style="33" customWidth="1"/>
    <col min="12049" max="12049" width="0.7109375" style="33" customWidth="1"/>
    <col min="12050" max="12052" width="15.28515625" style="33" customWidth="1"/>
    <col min="12053" max="12288" width="9.140625" style="33"/>
    <col min="12289" max="12291" width="12.5703125" style="33" customWidth="1"/>
    <col min="12292" max="12292" width="0.7109375" style="33" customWidth="1"/>
    <col min="12293" max="12295" width="14.28515625" style="33" customWidth="1"/>
    <col min="12296" max="12296" width="0.7109375" style="33" customWidth="1"/>
    <col min="12297" max="12298" width="15.28515625" style="33" customWidth="1"/>
    <col min="12299" max="12299" width="0.7109375" style="33" customWidth="1"/>
    <col min="12300" max="12300" width="15.28515625" style="33" customWidth="1"/>
    <col min="12301" max="12301" width="0.7109375" style="33" customWidth="1"/>
    <col min="12302" max="12304" width="26.28515625" style="33" customWidth="1"/>
    <col min="12305" max="12305" width="0.7109375" style="33" customWidth="1"/>
    <col min="12306" max="12308" width="15.28515625" style="33" customWidth="1"/>
    <col min="12309" max="12544" width="9.140625" style="33"/>
    <col min="12545" max="12547" width="12.5703125" style="33" customWidth="1"/>
    <col min="12548" max="12548" width="0.7109375" style="33" customWidth="1"/>
    <col min="12549" max="12551" width="14.28515625" style="33" customWidth="1"/>
    <col min="12552" max="12552" width="0.7109375" style="33" customWidth="1"/>
    <col min="12553" max="12554" width="15.28515625" style="33" customWidth="1"/>
    <col min="12555" max="12555" width="0.7109375" style="33" customWidth="1"/>
    <col min="12556" max="12556" width="15.28515625" style="33" customWidth="1"/>
    <col min="12557" max="12557" width="0.7109375" style="33" customWidth="1"/>
    <col min="12558" max="12560" width="26.28515625" style="33" customWidth="1"/>
    <col min="12561" max="12561" width="0.7109375" style="33" customWidth="1"/>
    <col min="12562" max="12564" width="15.28515625" style="33" customWidth="1"/>
    <col min="12565" max="12800" width="9.140625" style="33"/>
    <col min="12801" max="12803" width="12.5703125" style="33" customWidth="1"/>
    <col min="12804" max="12804" width="0.7109375" style="33" customWidth="1"/>
    <col min="12805" max="12807" width="14.28515625" style="33" customWidth="1"/>
    <col min="12808" max="12808" width="0.7109375" style="33" customWidth="1"/>
    <col min="12809" max="12810" width="15.28515625" style="33" customWidth="1"/>
    <col min="12811" max="12811" width="0.7109375" style="33" customWidth="1"/>
    <col min="12812" max="12812" width="15.28515625" style="33" customWidth="1"/>
    <col min="12813" max="12813" width="0.7109375" style="33" customWidth="1"/>
    <col min="12814" max="12816" width="26.28515625" style="33" customWidth="1"/>
    <col min="12817" max="12817" width="0.7109375" style="33" customWidth="1"/>
    <col min="12818" max="12820" width="15.28515625" style="33" customWidth="1"/>
    <col min="12821" max="13056" width="9.140625" style="33"/>
    <col min="13057" max="13059" width="12.5703125" style="33" customWidth="1"/>
    <col min="13060" max="13060" width="0.7109375" style="33" customWidth="1"/>
    <col min="13061" max="13063" width="14.28515625" style="33" customWidth="1"/>
    <col min="13064" max="13064" width="0.7109375" style="33" customWidth="1"/>
    <col min="13065" max="13066" width="15.28515625" style="33" customWidth="1"/>
    <col min="13067" max="13067" width="0.7109375" style="33" customWidth="1"/>
    <col min="13068" max="13068" width="15.28515625" style="33" customWidth="1"/>
    <col min="13069" max="13069" width="0.7109375" style="33" customWidth="1"/>
    <col min="13070" max="13072" width="26.28515625" style="33" customWidth="1"/>
    <col min="13073" max="13073" width="0.7109375" style="33" customWidth="1"/>
    <col min="13074" max="13076" width="15.28515625" style="33" customWidth="1"/>
    <col min="13077" max="13312" width="9.140625" style="33"/>
    <col min="13313" max="13315" width="12.5703125" style="33" customWidth="1"/>
    <col min="13316" max="13316" width="0.7109375" style="33" customWidth="1"/>
    <col min="13317" max="13319" width="14.28515625" style="33" customWidth="1"/>
    <col min="13320" max="13320" width="0.7109375" style="33" customWidth="1"/>
    <col min="13321" max="13322" width="15.28515625" style="33" customWidth="1"/>
    <col min="13323" max="13323" width="0.7109375" style="33" customWidth="1"/>
    <col min="13324" max="13324" width="15.28515625" style="33" customWidth="1"/>
    <col min="13325" max="13325" width="0.7109375" style="33" customWidth="1"/>
    <col min="13326" max="13328" width="26.28515625" style="33" customWidth="1"/>
    <col min="13329" max="13329" width="0.7109375" style="33" customWidth="1"/>
    <col min="13330" max="13332" width="15.28515625" style="33" customWidth="1"/>
    <col min="13333" max="13568" width="9.140625" style="33"/>
    <col min="13569" max="13571" width="12.5703125" style="33" customWidth="1"/>
    <col min="13572" max="13572" width="0.7109375" style="33" customWidth="1"/>
    <col min="13573" max="13575" width="14.28515625" style="33" customWidth="1"/>
    <col min="13576" max="13576" width="0.7109375" style="33" customWidth="1"/>
    <col min="13577" max="13578" width="15.28515625" style="33" customWidth="1"/>
    <col min="13579" max="13579" width="0.7109375" style="33" customWidth="1"/>
    <col min="13580" max="13580" width="15.28515625" style="33" customWidth="1"/>
    <col min="13581" max="13581" width="0.7109375" style="33" customWidth="1"/>
    <col min="13582" max="13584" width="26.28515625" style="33" customWidth="1"/>
    <col min="13585" max="13585" width="0.7109375" style="33" customWidth="1"/>
    <col min="13586" max="13588" width="15.28515625" style="33" customWidth="1"/>
    <col min="13589" max="13824" width="9.140625" style="33"/>
    <col min="13825" max="13827" width="12.5703125" style="33" customWidth="1"/>
    <col min="13828" max="13828" width="0.7109375" style="33" customWidth="1"/>
    <col min="13829" max="13831" width="14.28515625" style="33" customWidth="1"/>
    <col min="13832" max="13832" width="0.7109375" style="33" customWidth="1"/>
    <col min="13833" max="13834" width="15.28515625" style="33" customWidth="1"/>
    <col min="13835" max="13835" width="0.7109375" style="33" customWidth="1"/>
    <col min="13836" max="13836" width="15.28515625" style="33" customWidth="1"/>
    <col min="13837" max="13837" width="0.7109375" style="33" customWidth="1"/>
    <col min="13838" max="13840" width="26.28515625" style="33" customWidth="1"/>
    <col min="13841" max="13841" width="0.7109375" style="33" customWidth="1"/>
    <col min="13842" max="13844" width="15.28515625" style="33" customWidth="1"/>
    <col min="13845" max="14080" width="9.140625" style="33"/>
    <col min="14081" max="14083" width="12.5703125" style="33" customWidth="1"/>
    <col min="14084" max="14084" width="0.7109375" style="33" customWidth="1"/>
    <col min="14085" max="14087" width="14.28515625" style="33" customWidth="1"/>
    <col min="14088" max="14088" width="0.7109375" style="33" customWidth="1"/>
    <col min="14089" max="14090" width="15.28515625" style="33" customWidth="1"/>
    <col min="14091" max="14091" width="0.7109375" style="33" customWidth="1"/>
    <col min="14092" max="14092" width="15.28515625" style="33" customWidth="1"/>
    <col min="14093" max="14093" width="0.7109375" style="33" customWidth="1"/>
    <col min="14094" max="14096" width="26.28515625" style="33" customWidth="1"/>
    <col min="14097" max="14097" width="0.7109375" style="33" customWidth="1"/>
    <col min="14098" max="14100" width="15.28515625" style="33" customWidth="1"/>
    <col min="14101" max="14336" width="9.140625" style="33"/>
    <col min="14337" max="14339" width="12.5703125" style="33" customWidth="1"/>
    <col min="14340" max="14340" width="0.7109375" style="33" customWidth="1"/>
    <col min="14341" max="14343" width="14.28515625" style="33" customWidth="1"/>
    <col min="14344" max="14344" width="0.7109375" style="33" customWidth="1"/>
    <col min="14345" max="14346" width="15.28515625" style="33" customWidth="1"/>
    <col min="14347" max="14347" width="0.7109375" style="33" customWidth="1"/>
    <col min="14348" max="14348" width="15.28515625" style="33" customWidth="1"/>
    <col min="14349" max="14349" width="0.7109375" style="33" customWidth="1"/>
    <col min="14350" max="14352" width="26.28515625" style="33" customWidth="1"/>
    <col min="14353" max="14353" width="0.7109375" style="33" customWidth="1"/>
    <col min="14354" max="14356" width="15.28515625" style="33" customWidth="1"/>
    <col min="14357" max="14592" width="9.140625" style="33"/>
    <col min="14593" max="14595" width="12.5703125" style="33" customWidth="1"/>
    <col min="14596" max="14596" width="0.7109375" style="33" customWidth="1"/>
    <col min="14597" max="14599" width="14.28515625" style="33" customWidth="1"/>
    <col min="14600" max="14600" width="0.7109375" style="33" customWidth="1"/>
    <col min="14601" max="14602" width="15.28515625" style="33" customWidth="1"/>
    <col min="14603" max="14603" width="0.7109375" style="33" customWidth="1"/>
    <col min="14604" max="14604" width="15.28515625" style="33" customWidth="1"/>
    <col min="14605" max="14605" width="0.7109375" style="33" customWidth="1"/>
    <col min="14606" max="14608" width="26.28515625" style="33" customWidth="1"/>
    <col min="14609" max="14609" width="0.7109375" style="33" customWidth="1"/>
    <col min="14610" max="14612" width="15.28515625" style="33" customWidth="1"/>
    <col min="14613" max="14848" width="9.140625" style="33"/>
    <col min="14849" max="14851" width="12.5703125" style="33" customWidth="1"/>
    <col min="14852" max="14852" width="0.7109375" style="33" customWidth="1"/>
    <col min="14853" max="14855" width="14.28515625" style="33" customWidth="1"/>
    <col min="14856" max="14856" width="0.7109375" style="33" customWidth="1"/>
    <col min="14857" max="14858" width="15.28515625" style="33" customWidth="1"/>
    <col min="14859" max="14859" width="0.7109375" style="33" customWidth="1"/>
    <col min="14860" max="14860" width="15.28515625" style="33" customWidth="1"/>
    <col min="14861" max="14861" width="0.7109375" style="33" customWidth="1"/>
    <col min="14862" max="14864" width="26.28515625" style="33" customWidth="1"/>
    <col min="14865" max="14865" width="0.7109375" style="33" customWidth="1"/>
    <col min="14866" max="14868" width="15.28515625" style="33" customWidth="1"/>
    <col min="14869" max="15104" width="9.140625" style="33"/>
    <col min="15105" max="15107" width="12.5703125" style="33" customWidth="1"/>
    <col min="15108" max="15108" width="0.7109375" style="33" customWidth="1"/>
    <col min="15109" max="15111" width="14.28515625" style="33" customWidth="1"/>
    <col min="15112" max="15112" width="0.7109375" style="33" customWidth="1"/>
    <col min="15113" max="15114" width="15.28515625" style="33" customWidth="1"/>
    <col min="15115" max="15115" width="0.7109375" style="33" customWidth="1"/>
    <col min="15116" max="15116" width="15.28515625" style="33" customWidth="1"/>
    <col min="15117" max="15117" width="0.7109375" style="33" customWidth="1"/>
    <col min="15118" max="15120" width="26.28515625" style="33" customWidth="1"/>
    <col min="15121" max="15121" width="0.7109375" style="33" customWidth="1"/>
    <col min="15122" max="15124" width="15.28515625" style="33" customWidth="1"/>
    <col min="15125" max="15360" width="9.140625" style="33"/>
    <col min="15361" max="15363" width="12.5703125" style="33" customWidth="1"/>
    <col min="15364" max="15364" width="0.7109375" style="33" customWidth="1"/>
    <col min="15365" max="15367" width="14.28515625" style="33" customWidth="1"/>
    <col min="15368" max="15368" width="0.7109375" style="33" customWidth="1"/>
    <col min="15369" max="15370" width="15.28515625" style="33" customWidth="1"/>
    <col min="15371" max="15371" width="0.7109375" style="33" customWidth="1"/>
    <col min="15372" max="15372" width="15.28515625" style="33" customWidth="1"/>
    <col min="15373" max="15373" width="0.7109375" style="33" customWidth="1"/>
    <col min="15374" max="15376" width="26.28515625" style="33" customWidth="1"/>
    <col min="15377" max="15377" width="0.7109375" style="33" customWidth="1"/>
    <col min="15378" max="15380" width="15.28515625" style="33" customWidth="1"/>
    <col min="15381" max="15616" width="9.140625" style="33"/>
    <col min="15617" max="15619" width="12.5703125" style="33" customWidth="1"/>
    <col min="15620" max="15620" width="0.7109375" style="33" customWidth="1"/>
    <col min="15621" max="15623" width="14.28515625" style="33" customWidth="1"/>
    <col min="15624" max="15624" width="0.7109375" style="33" customWidth="1"/>
    <col min="15625" max="15626" width="15.28515625" style="33" customWidth="1"/>
    <col min="15627" max="15627" width="0.7109375" style="33" customWidth="1"/>
    <col min="15628" max="15628" width="15.28515625" style="33" customWidth="1"/>
    <col min="15629" max="15629" width="0.7109375" style="33" customWidth="1"/>
    <col min="15630" max="15632" width="26.28515625" style="33" customWidth="1"/>
    <col min="15633" max="15633" width="0.7109375" style="33" customWidth="1"/>
    <col min="15634" max="15636" width="15.28515625" style="33" customWidth="1"/>
    <col min="15637" max="15872" width="9.140625" style="33"/>
    <col min="15873" max="15875" width="12.5703125" style="33" customWidth="1"/>
    <col min="15876" max="15876" width="0.7109375" style="33" customWidth="1"/>
    <col min="15877" max="15879" width="14.28515625" style="33" customWidth="1"/>
    <col min="15880" max="15880" width="0.7109375" style="33" customWidth="1"/>
    <col min="15881" max="15882" width="15.28515625" style="33" customWidth="1"/>
    <col min="15883" max="15883" width="0.7109375" style="33" customWidth="1"/>
    <col min="15884" max="15884" width="15.28515625" style="33" customWidth="1"/>
    <col min="15885" max="15885" width="0.7109375" style="33" customWidth="1"/>
    <col min="15886" max="15888" width="26.28515625" style="33" customWidth="1"/>
    <col min="15889" max="15889" width="0.7109375" style="33" customWidth="1"/>
    <col min="15890" max="15892" width="15.28515625" style="33" customWidth="1"/>
    <col min="15893" max="16128" width="9.140625" style="33"/>
    <col min="16129" max="16131" width="12.5703125" style="33" customWidth="1"/>
    <col min="16132" max="16132" width="0.7109375" style="33" customWidth="1"/>
    <col min="16133" max="16135" width="14.28515625" style="33" customWidth="1"/>
    <col min="16136" max="16136" width="0.7109375" style="33" customWidth="1"/>
    <col min="16137" max="16138" width="15.28515625" style="33" customWidth="1"/>
    <col min="16139" max="16139" width="0.7109375" style="33" customWidth="1"/>
    <col min="16140" max="16140" width="15.28515625" style="33" customWidth="1"/>
    <col min="16141" max="16141" width="0.7109375" style="33" customWidth="1"/>
    <col min="16142" max="16144" width="26.28515625" style="33" customWidth="1"/>
    <col min="16145" max="16145" width="0.7109375" style="33" customWidth="1"/>
    <col min="16146" max="16148" width="15.28515625" style="33" customWidth="1"/>
    <col min="16149" max="16384" width="9.140625" style="33"/>
  </cols>
  <sheetData>
    <row r="1" spans="1:20" ht="15" customHeight="1" x14ac:dyDescent="0.3">
      <c r="A1" s="132" t="s">
        <v>40</v>
      </c>
      <c r="B1" s="133"/>
      <c r="C1" s="133"/>
      <c r="D1" s="133"/>
      <c r="E1" s="133"/>
      <c r="F1" s="133"/>
      <c r="G1" s="134"/>
      <c r="H1" s="31"/>
      <c r="I1" s="138" t="s">
        <v>41</v>
      </c>
      <c r="J1" s="138"/>
      <c r="K1" s="138"/>
      <c r="L1" s="139" t="s">
        <v>42</v>
      </c>
      <c r="M1" s="139"/>
      <c r="N1" s="139"/>
      <c r="O1" s="139"/>
      <c r="P1" s="139"/>
      <c r="Q1" s="32"/>
    </row>
    <row r="2" spans="1:20" ht="15" customHeight="1" thickBot="1" x14ac:dyDescent="0.35">
      <c r="A2" s="135"/>
      <c r="B2" s="136"/>
      <c r="C2" s="136"/>
      <c r="D2" s="136"/>
      <c r="E2" s="136"/>
      <c r="F2" s="136"/>
      <c r="G2" s="137"/>
      <c r="H2" s="31"/>
      <c r="I2" s="138" t="s">
        <v>43</v>
      </c>
      <c r="J2" s="138"/>
      <c r="K2" s="138"/>
      <c r="L2" s="139"/>
      <c r="M2" s="139"/>
      <c r="N2" s="139"/>
      <c r="O2" s="139"/>
      <c r="P2" s="139"/>
      <c r="Q2" s="32"/>
    </row>
    <row r="3" spans="1:20" ht="15.75" customHeight="1" x14ac:dyDescent="0.3">
      <c r="A3" s="34"/>
      <c r="B3" s="35"/>
      <c r="C3" s="35"/>
      <c r="D3" s="35"/>
      <c r="E3" s="35"/>
      <c r="F3" s="35"/>
      <c r="G3" s="35"/>
      <c r="H3" s="35"/>
    </row>
    <row r="4" spans="1:20" x14ac:dyDescent="0.3">
      <c r="A4" s="122" t="s">
        <v>44</v>
      </c>
      <c r="B4" s="123"/>
      <c r="C4" s="124"/>
      <c r="D4" s="36"/>
      <c r="E4" s="122" t="s">
        <v>45</v>
      </c>
      <c r="F4" s="123"/>
      <c r="G4" s="124"/>
      <c r="H4" s="37"/>
      <c r="I4" s="122" t="s">
        <v>46</v>
      </c>
      <c r="J4" s="123"/>
      <c r="K4" s="123"/>
      <c r="L4" s="124"/>
      <c r="M4" s="38"/>
      <c r="N4" s="122" t="s">
        <v>47</v>
      </c>
      <c r="O4" s="123"/>
      <c r="P4" s="124"/>
      <c r="Q4" s="39"/>
      <c r="R4" s="122" t="s">
        <v>48</v>
      </c>
      <c r="S4" s="123"/>
      <c r="T4" s="124"/>
    </row>
    <row r="5" spans="1:20" x14ac:dyDescent="0.3">
      <c r="A5" s="40" t="s">
        <v>108</v>
      </c>
      <c r="B5" s="41"/>
      <c r="C5" s="42"/>
      <c r="D5" s="43"/>
      <c r="E5" s="44" t="s">
        <v>49</v>
      </c>
      <c r="F5" s="45"/>
      <c r="G5" s="46"/>
      <c r="H5" s="47"/>
      <c r="I5" s="44" t="s">
        <v>50</v>
      </c>
      <c r="J5" s="45"/>
      <c r="K5" s="45"/>
      <c r="L5" s="46"/>
      <c r="M5" s="48"/>
      <c r="N5" s="44" t="s">
        <v>51</v>
      </c>
      <c r="O5" s="45"/>
      <c r="P5" s="46"/>
      <c r="Q5" s="49"/>
      <c r="R5" s="44" t="s">
        <v>52</v>
      </c>
      <c r="S5" s="45"/>
      <c r="T5" s="46"/>
    </row>
    <row r="6" spans="1:20" x14ac:dyDescent="0.3">
      <c r="A6" s="50" t="s">
        <v>38</v>
      </c>
      <c r="B6" s="41"/>
      <c r="C6" s="42"/>
      <c r="D6" s="43"/>
      <c r="E6" s="50" t="s">
        <v>53</v>
      </c>
      <c r="F6" s="41"/>
      <c r="G6" s="42"/>
      <c r="H6" s="47"/>
      <c r="I6" s="50" t="s">
        <v>54</v>
      </c>
      <c r="J6" s="41"/>
      <c r="K6" s="41"/>
      <c r="L6" s="42"/>
      <c r="M6" s="48"/>
      <c r="N6" s="50" t="s">
        <v>55</v>
      </c>
      <c r="O6" s="41"/>
      <c r="P6" s="42"/>
      <c r="Q6" s="51"/>
      <c r="R6" s="50" t="s">
        <v>56</v>
      </c>
      <c r="S6" s="41"/>
      <c r="T6" s="42"/>
    </row>
    <row r="7" spans="1:20" x14ac:dyDescent="0.3">
      <c r="A7" s="50" t="s">
        <v>38</v>
      </c>
      <c r="B7" s="41"/>
      <c r="C7" s="42"/>
      <c r="D7" s="43"/>
      <c r="E7" s="50" t="s">
        <v>57</v>
      </c>
      <c r="F7" s="41"/>
      <c r="G7" s="42"/>
      <c r="H7" s="47"/>
      <c r="I7" s="50" t="s">
        <v>58</v>
      </c>
      <c r="J7" s="41"/>
      <c r="K7" s="41"/>
      <c r="L7" s="42"/>
      <c r="M7" s="48"/>
      <c r="N7" s="50" t="s">
        <v>59</v>
      </c>
      <c r="O7" s="41"/>
      <c r="P7" s="42"/>
      <c r="Q7" s="51"/>
      <c r="R7" s="50" t="s">
        <v>60</v>
      </c>
      <c r="S7" s="41"/>
      <c r="T7" s="42"/>
    </row>
    <row r="8" spans="1:20" x14ac:dyDescent="0.3">
      <c r="A8" s="50"/>
      <c r="B8" s="41"/>
      <c r="C8" s="42"/>
      <c r="D8" s="43"/>
      <c r="E8" s="50" t="s">
        <v>61</v>
      </c>
      <c r="F8" s="41"/>
      <c r="G8" s="42"/>
      <c r="H8" s="47"/>
      <c r="I8" s="50" t="s">
        <v>62</v>
      </c>
      <c r="J8" s="41"/>
      <c r="K8" s="41"/>
      <c r="L8" s="42"/>
      <c r="M8" s="48"/>
      <c r="N8" s="50" t="s">
        <v>63</v>
      </c>
      <c r="O8" s="41"/>
      <c r="P8" s="42"/>
      <c r="Q8" s="51"/>
      <c r="R8" s="50" t="s">
        <v>64</v>
      </c>
      <c r="S8" s="41"/>
      <c r="T8" s="42"/>
    </row>
    <row r="9" spans="1:20" x14ac:dyDescent="0.3">
      <c r="A9" s="50"/>
      <c r="B9" s="41"/>
      <c r="C9" s="42"/>
      <c r="D9" s="43"/>
      <c r="E9" s="50"/>
      <c r="F9" s="41"/>
      <c r="G9" s="42"/>
      <c r="H9" s="47"/>
      <c r="I9" s="50" t="s">
        <v>65</v>
      </c>
      <c r="J9" s="41"/>
      <c r="K9" s="41"/>
      <c r="L9" s="42"/>
      <c r="M9" s="48"/>
      <c r="N9" s="50" t="s">
        <v>66</v>
      </c>
      <c r="O9" s="41"/>
      <c r="P9" s="42"/>
      <c r="Q9" s="51"/>
      <c r="R9" s="50" t="s">
        <v>67</v>
      </c>
      <c r="S9" s="41"/>
      <c r="T9" s="42"/>
    </row>
    <row r="10" spans="1:20" x14ac:dyDescent="0.3">
      <c r="A10" s="50"/>
      <c r="B10" s="41"/>
      <c r="C10" s="42"/>
      <c r="D10" s="43"/>
      <c r="E10" s="50"/>
      <c r="F10" s="41"/>
      <c r="G10" s="42"/>
      <c r="H10" s="47"/>
      <c r="I10" s="50" t="s">
        <v>68</v>
      </c>
      <c r="J10" s="41"/>
      <c r="K10" s="41"/>
      <c r="L10" s="42"/>
      <c r="M10" s="48"/>
      <c r="N10" s="50" t="s">
        <v>69</v>
      </c>
      <c r="O10" s="41"/>
      <c r="P10" s="42"/>
      <c r="Q10" s="51"/>
      <c r="R10" s="50" t="s">
        <v>70</v>
      </c>
      <c r="S10" s="41"/>
      <c r="T10" s="42"/>
    </row>
    <row r="11" spans="1:20" x14ac:dyDescent="0.3">
      <c r="A11" s="50"/>
      <c r="B11" s="41"/>
      <c r="C11" s="42"/>
      <c r="D11" s="43"/>
      <c r="E11" s="50"/>
      <c r="F11" s="41"/>
      <c r="G11" s="42"/>
      <c r="H11" s="47"/>
      <c r="I11" s="50" t="s">
        <v>71</v>
      </c>
      <c r="J11" s="41"/>
      <c r="K11" s="41"/>
      <c r="L11" s="42"/>
      <c r="M11" s="48"/>
      <c r="N11" s="50"/>
      <c r="O11" s="41"/>
      <c r="P11" s="42"/>
      <c r="Q11" s="51"/>
      <c r="R11" s="50"/>
      <c r="S11" s="41"/>
      <c r="T11" s="42"/>
    </row>
    <row r="12" spans="1:20" x14ac:dyDescent="0.3">
      <c r="A12" s="50"/>
      <c r="B12" s="41"/>
      <c r="C12" s="42"/>
      <c r="D12" s="43"/>
      <c r="E12" s="50"/>
      <c r="F12" s="41"/>
      <c r="G12" s="42"/>
      <c r="H12" s="47"/>
      <c r="I12" s="50" t="s">
        <v>72</v>
      </c>
      <c r="J12" s="41"/>
      <c r="K12" s="41"/>
      <c r="L12" s="42"/>
      <c r="M12" s="48"/>
      <c r="N12" s="50"/>
      <c r="O12" s="41"/>
      <c r="P12" s="42"/>
      <c r="Q12" s="51"/>
      <c r="R12" s="50"/>
      <c r="S12" s="41"/>
      <c r="T12" s="42"/>
    </row>
    <row r="13" spans="1:20" x14ac:dyDescent="0.3">
      <c r="A13" s="50"/>
      <c r="B13" s="41"/>
      <c r="C13" s="42"/>
      <c r="D13" s="43"/>
      <c r="E13" s="50"/>
      <c r="F13" s="41"/>
      <c r="G13" s="42"/>
      <c r="H13" s="47"/>
      <c r="I13" s="50" t="s">
        <v>73</v>
      </c>
      <c r="J13" s="41"/>
      <c r="K13" s="41"/>
      <c r="L13" s="42"/>
      <c r="M13" s="48"/>
      <c r="N13" s="50"/>
      <c r="O13" s="41"/>
      <c r="P13" s="42"/>
      <c r="Q13" s="51"/>
      <c r="R13" s="50"/>
      <c r="S13" s="41"/>
      <c r="T13" s="42"/>
    </row>
    <row r="14" spans="1:20" x14ac:dyDescent="0.3">
      <c r="A14" s="50"/>
      <c r="B14" s="41"/>
      <c r="C14" s="42"/>
      <c r="D14" s="43"/>
      <c r="E14" s="50"/>
      <c r="F14" s="41"/>
      <c r="G14" s="42"/>
      <c r="H14" s="47"/>
      <c r="I14" s="50" t="s">
        <v>74</v>
      </c>
      <c r="J14" s="41"/>
      <c r="K14" s="41"/>
      <c r="L14" s="42"/>
      <c r="M14" s="48"/>
      <c r="N14" s="50"/>
      <c r="O14" s="41"/>
      <c r="P14" s="42"/>
      <c r="Q14" s="51"/>
      <c r="R14" s="50"/>
      <c r="S14" s="41"/>
      <c r="T14" s="42"/>
    </row>
    <row r="15" spans="1:20" x14ac:dyDescent="0.3">
      <c r="A15" s="50"/>
      <c r="B15" s="41"/>
      <c r="C15" s="42"/>
      <c r="D15" s="43"/>
      <c r="E15" s="52"/>
      <c r="F15" s="53"/>
      <c r="G15" s="54"/>
      <c r="H15" s="47"/>
      <c r="I15" s="50" t="s">
        <v>75</v>
      </c>
      <c r="J15" s="41"/>
      <c r="K15" s="41"/>
      <c r="L15" s="42"/>
      <c r="M15" s="48"/>
      <c r="N15" s="52"/>
      <c r="O15" s="53"/>
      <c r="P15" s="54"/>
      <c r="Q15" s="51"/>
      <c r="R15" s="50"/>
      <c r="S15" s="41"/>
      <c r="T15" s="42"/>
    </row>
    <row r="16" spans="1:20" x14ac:dyDescent="0.3">
      <c r="A16" s="50"/>
      <c r="B16" s="41"/>
      <c r="C16" s="42"/>
      <c r="D16" s="43"/>
      <c r="E16" s="122" t="s">
        <v>76</v>
      </c>
      <c r="F16" s="123"/>
      <c r="G16" s="124"/>
      <c r="H16" s="55"/>
      <c r="I16" s="50"/>
      <c r="J16" s="41"/>
      <c r="K16" s="41"/>
      <c r="L16" s="42"/>
      <c r="M16" s="48"/>
      <c r="N16" s="125" t="s">
        <v>77</v>
      </c>
      <c r="O16" s="125"/>
      <c r="P16" s="125"/>
      <c r="Q16" s="56"/>
      <c r="R16" s="50"/>
      <c r="S16" s="41"/>
      <c r="T16" s="42"/>
    </row>
    <row r="17" spans="1:20" x14ac:dyDescent="0.3">
      <c r="A17" s="50"/>
      <c r="B17" s="41"/>
      <c r="C17" s="42"/>
      <c r="D17" s="43"/>
      <c r="E17" s="57" t="s">
        <v>78</v>
      </c>
      <c r="F17" s="45"/>
      <c r="G17" s="46"/>
      <c r="H17" s="47"/>
      <c r="I17" s="50"/>
      <c r="J17" s="41"/>
      <c r="K17" s="41"/>
      <c r="L17" s="42"/>
      <c r="M17" s="48"/>
      <c r="N17" s="58" t="s">
        <v>79</v>
      </c>
      <c r="O17" s="45"/>
      <c r="P17" s="45"/>
      <c r="Q17" s="51"/>
      <c r="R17" s="50"/>
      <c r="S17" s="41"/>
      <c r="T17" s="42"/>
    </row>
    <row r="18" spans="1:20" x14ac:dyDescent="0.3">
      <c r="A18" s="50"/>
      <c r="B18" s="41"/>
      <c r="C18" s="42"/>
      <c r="D18" s="43"/>
      <c r="E18" s="50" t="s">
        <v>80</v>
      </c>
      <c r="F18" s="41"/>
      <c r="G18" s="42"/>
      <c r="H18" s="47"/>
      <c r="I18" s="50"/>
      <c r="J18" s="41"/>
      <c r="K18" s="41"/>
      <c r="L18" s="42"/>
      <c r="M18" s="48"/>
      <c r="N18" s="41" t="s">
        <v>81</v>
      </c>
      <c r="O18" s="41"/>
      <c r="P18" s="41"/>
      <c r="Q18" s="51"/>
      <c r="R18" s="50"/>
      <c r="S18" s="41"/>
      <c r="T18" s="42"/>
    </row>
    <row r="19" spans="1:20" x14ac:dyDescent="0.3">
      <c r="A19" s="50"/>
      <c r="B19" s="41"/>
      <c r="C19" s="42"/>
      <c r="D19" s="43"/>
      <c r="E19" s="126" t="s">
        <v>82</v>
      </c>
      <c r="F19" s="127"/>
      <c r="G19" s="128"/>
      <c r="H19" s="47"/>
      <c r="I19" s="50"/>
      <c r="J19" s="41"/>
      <c r="K19" s="41"/>
      <c r="L19" s="42"/>
      <c r="M19" s="48"/>
      <c r="N19" s="41" t="s">
        <v>83</v>
      </c>
      <c r="O19" s="41"/>
      <c r="P19" s="41"/>
      <c r="Q19" s="51"/>
      <c r="R19" s="50"/>
      <c r="S19" s="41"/>
      <c r="T19" s="42"/>
    </row>
    <row r="20" spans="1:20" x14ac:dyDescent="0.3">
      <c r="A20" s="50"/>
      <c r="B20" s="41"/>
      <c r="C20" s="42"/>
      <c r="D20" s="43"/>
      <c r="E20" s="50"/>
      <c r="F20" s="41"/>
      <c r="G20" s="42"/>
      <c r="H20" s="47"/>
      <c r="I20" s="50"/>
      <c r="J20" s="41"/>
      <c r="K20" s="41"/>
      <c r="L20" s="42"/>
      <c r="M20" s="48"/>
      <c r="N20" s="41" t="s">
        <v>109</v>
      </c>
      <c r="O20" s="41"/>
      <c r="P20" s="41"/>
      <c r="Q20" s="51"/>
      <c r="R20" s="50"/>
      <c r="S20" s="41"/>
      <c r="T20" s="42"/>
    </row>
    <row r="21" spans="1:20" x14ac:dyDescent="0.3">
      <c r="A21" s="50"/>
      <c r="B21" s="41"/>
      <c r="C21" s="42"/>
      <c r="D21" s="43"/>
      <c r="E21" s="50"/>
      <c r="F21" s="41"/>
      <c r="G21" s="42"/>
      <c r="H21" s="47"/>
      <c r="I21" s="50"/>
      <c r="J21" s="41"/>
      <c r="K21" s="41"/>
      <c r="L21" s="42"/>
      <c r="M21" s="48"/>
      <c r="N21" s="41" t="s">
        <v>84</v>
      </c>
      <c r="O21" s="41"/>
      <c r="P21" s="41"/>
      <c r="Q21" s="51"/>
      <c r="R21" s="50"/>
      <c r="S21" s="41"/>
      <c r="T21" s="42"/>
    </row>
    <row r="22" spans="1:20" x14ac:dyDescent="0.3">
      <c r="A22" s="50"/>
      <c r="B22" s="41"/>
      <c r="C22" s="42"/>
      <c r="D22" s="43"/>
      <c r="E22" s="50"/>
      <c r="F22" s="41"/>
      <c r="G22" s="42"/>
      <c r="H22" s="47"/>
      <c r="I22" s="50"/>
      <c r="J22" s="41"/>
      <c r="K22" s="41"/>
      <c r="L22" s="42"/>
      <c r="M22" s="48"/>
      <c r="N22" s="41" t="s">
        <v>85</v>
      </c>
      <c r="O22" s="41"/>
      <c r="P22" s="41"/>
      <c r="Q22" s="51"/>
      <c r="R22" s="50"/>
      <c r="S22" s="41"/>
      <c r="T22" s="42"/>
    </row>
    <row r="23" spans="1:20" x14ac:dyDescent="0.3">
      <c r="A23" s="50"/>
      <c r="B23" s="41"/>
      <c r="C23" s="42"/>
      <c r="D23" s="43"/>
      <c r="E23" s="50"/>
      <c r="F23" s="41"/>
      <c r="G23" s="42"/>
      <c r="H23" s="47"/>
      <c r="I23" s="50"/>
      <c r="J23" s="41"/>
      <c r="K23" s="41"/>
      <c r="L23" s="42"/>
      <c r="M23" s="48"/>
      <c r="N23" s="41"/>
      <c r="O23" s="41"/>
      <c r="P23" s="41"/>
      <c r="Q23" s="51"/>
      <c r="R23" s="50"/>
      <c r="S23" s="41"/>
      <c r="T23" s="42"/>
    </row>
    <row r="24" spans="1:20" x14ac:dyDescent="0.3">
      <c r="A24" s="50"/>
      <c r="B24" s="41"/>
      <c r="C24" s="42"/>
      <c r="D24" s="43"/>
      <c r="E24" s="50"/>
      <c r="F24" s="41"/>
      <c r="G24" s="42"/>
      <c r="H24" s="47"/>
      <c r="I24" s="50"/>
      <c r="J24" s="41"/>
      <c r="K24" s="41"/>
      <c r="L24" s="42"/>
      <c r="M24" s="48"/>
      <c r="N24" s="41"/>
      <c r="O24" s="41"/>
      <c r="P24" s="41"/>
      <c r="Q24" s="51"/>
      <c r="R24" s="50"/>
      <c r="S24" s="41"/>
      <c r="T24" s="42"/>
    </row>
    <row r="25" spans="1:20" x14ac:dyDescent="0.3">
      <c r="A25" s="50"/>
      <c r="B25" s="41"/>
      <c r="C25" s="42"/>
      <c r="D25" s="43"/>
      <c r="E25" s="50"/>
      <c r="F25" s="41"/>
      <c r="G25" s="42"/>
      <c r="H25" s="47"/>
      <c r="I25" s="50"/>
      <c r="J25" s="41"/>
      <c r="K25" s="41"/>
      <c r="L25" s="42"/>
      <c r="M25" s="48"/>
      <c r="N25" s="41"/>
      <c r="O25" s="41"/>
      <c r="P25" s="41"/>
      <c r="Q25" s="51"/>
      <c r="R25" s="50"/>
      <c r="S25" s="41"/>
      <c r="T25" s="42"/>
    </row>
    <row r="26" spans="1:20" x14ac:dyDescent="0.3">
      <c r="A26" s="50"/>
      <c r="B26" s="41"/>
      <c r="C26" s="42"/>
      <c r="D26" s="43"/>
      <c r="E26" s="50"/>
      <c r="F26" s="41"/>
      <c r="G26" s="42"/>
      <c r="H26" s="47"/>
      <c r="I26" s="50"/>
      <c r="J26" s="41"/>
      <c r="K26" s="41"/>
      <c r="L26" s="42"/>
      <c r="M26" s="48"/>
      <c r="N26" s="41"/>
      <c r="O26" s="41"/>
      <c r="P26" s="41"/>
      <c r="Q26" s="51"/>
      <c r="R26" s="50"/>
      <c r="S26" s="41"/>
      <c r="T26" s="42"/>
    </row>
    <row r="27" spans="1:20" ht="3.75" customHeight="1" x14ac:dyDescent="0.3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1"/>
      <c r="L27" s="61"/>
      <c r="M27" s="61"/>
      <c r="N27" s="61"/>
      <c r="O27" s="61"/>
      <c r="P27" s="61"/>
      <c r="Q27" s="61"/>
      <c r="R27" s="61"/>
      <c r="S27" s="61"/>
      <c r="T27" s="62"/>
    </row>
    <row r="28" spans="1:20" x14ac:dyDescent="0.3">
      <c r="A28" s="129" t="s">
        <v>86</v>
      </c>
      <c r="B28" s="130"/>
      <c r="C28" s="130"/>
      <c r="D28" s="63"/>
      <c r="E28" s="45"/>
      <c r="F28" s="45"/>
      <c r="G28" s="45"/>
      <c r="H28" s="45"/>
      <c r="I28" s="45"/>
      <c r="J28" s="46"/>
      <c r="K28" s="64"/>
      <c r="L28" s="129" t="s">
        <v>87</v>
      </c>
      <c r="M28" s="130"/>
      <c r="N28" s="131"/>
      <c r="O28" s="45"/>
      <c r="P28" s="45"/>
      <c r="Q28" s="45"/>
      <c r="R28" s="45"/>
      <c r="S28" s="45"/>
      <c r="T28" s="46"/>
    </row>
    <row r="29" spans="1:20" x14ac:dyDescent="0.3">
      <c r="A29" s="40" t="s">
        <v>88</v>
      </c>
      <c r="B29" s="41"/>
      <c r="C29" s="41"/>
      <c r="D29" s="41"/>
      <c r="E29" s="41"/>
      <c r="F29" s="41"/>
      <c r="G29" s="41"/>
      <c r="H29" s="41"/>
      <c r="I29" s="41"/>
      <c r="J29" s="42"/>
      <c r="K29" s="65"/>
      <c r="L29" s="57"/>
      <c r="M29" s="45"/>
      <c r="N29" s="58" t="s">
        <v>89</v>
      </c>
      <c r="O29" s="45"/>
      <c r="P29" s="45"/>
      <c r="Q29" s="45"/>
      <c r="R29" s="45"/>
      <c r="S29" s="45"/>
      <c r="T29" s="46"/>
    </row>
    <row r="30" spans="1:20" x14ac:dyDescent="0.3">
      <c r="A30" s="50" t="s">
        <v>90</v>
      </c>
      <c r="B30" s="41"/>
      <c r="C30" s="41"/>
      <c r="D30" s="41"/>
      <c r="E30" s="41"/>
      <c r="F30" s="41"/>
      <c r="G30" s="41"/>
      <c r="H30" s="41"/>
      <c r="I30" s="41"/>
      <c r="J30" s="42"/>
      <c r="K30" s="65"/>
      <c r="L30" s="50"/>
      <c r="M30" s="41"/>
      <c r="N30" s="41" t="s">
        <v>91</v>
      </c>
      <c r="O30" s="41"/>
      <c r="P30" s="41"/>
      <c r="Q30" s="41"/>
      <c r="R30" s="41"/>
      <c r="S30" s="41"/>
      <c r="T30" s="42"/>
    </row>
    <row r="31" spans="1:20" x14ac:dyDescent="0.3">
      <c r="A31" s="50" t="s">
        <v>92</v>
      </c>
      <c r="B31" s="41"/>
      <c r="C31" s="41"/>
      <c r="D31" s="41"/>
      <c r="E31" s="41"/>
      <c r="F31" s="41"/>
      <c r="G31" s="41"/>
      <c r="H31" s="41"/>
      <c r="I31" s="41"/>
      <c r="J31" s="42"/>
      <c r="K31" s="65"/>
      <c r="L31" s="50"/>
      <c r="M31" s="41"/>
      <c r="N31" s="41" t="s">
        <v>93</v>
      </c>
      <c r="O31" s="41"/>
      <c r="P31" s="41"/>
      <c r="Q31" s="41"/>
      <c r="R31" s="41"/>
      <c r="S31" s="41"/>
      <c r="T31" s="42"/>
    </row>
    <row r="32" spans="1:20" x14ac:dyDescent="0.3">
      <c r="C32" s="41"/>
      <c r="D32" s="41"/>
      <c r="E32" s="41"/>
      <c r="F32" s="41"/>
      <c r="G32" s="41"/>
      <c r="H32" s="41"/>
      <c r="I32" s="41"/>
      <c r="J32" s="42"/>
      <c r="K32" s="65"/>
      <c r="L32" s="50"/>
      <c r="M32" s="41"/>
      <c r="N32" s="41" t="s">
        <v>94</v>
      </c>
      <c r="O32" s="41"/>
      <c r="P32" s="41"/>
      <c r="Q32" s="41"/>
      <c r="R32" s="41"/>
      <c r="S32" s="41"/>
      <c r="T32" s="42"/>
    </row>
    <row r="33" spans="1:20" x14ac:dyDescent="0.3">
      <c r="A33" s="50" t="s">
        <v>50</v>
      </c>
      <c r="B33" s="41"/>
      <c r="C33" s="41"/>
      <c r="D33" s="41"/>
      <c r="E33" s="41"/>
      <c r="F33" s="41"/>
      <c r="G33" s="41"/>
      <c r="H33" s="41"/>
      <c r="I33" s="41"/>
      <c r="J33" s="42"/>
      <c r="K33" s="65"/>
      <c r="L33" s="50"/>
      <c r="M33" s="41"/>
      <c r="N33" s="41"/>
      <c r="O33" s="41"/>
      <c r="P33" s="41"/>
      <c r="Q33" s="41"/>
      <c r="R33" s="41"/>
      <c r="S33" s="41"/>
      <c r="T33" s="42"/>
    </row>
    <row r="34" spans="1:20" x14ac:dyDescent="0.3">
      <c r="A34" s="50" t="s">
        <v>95</v>
      </c>
      <c r="B34" s="41"/>
      <c r="C34" s="41"/>
      <c r="D34" s="41"/>
      <c r="E34" s="41"/>
      <c r="F34" s="41"/>
      <c r="G34" s="41"/>
      <c r="H34" s="41"/>
      <c r="I34" s="41"/>
      <c r="J34" s="42"/>
      <c r="K34" s="65"/>
      <c r="L34" s="50"/>
      <c r="M34" s="41"/>
      <c r="N34" s="66" t="s">
        <v>96</v>
      </c>
      <c r="O34" s="41"/>
      <c r="P34" s="66" t="s">
        <v>97</v>
      </c>
      <c r="Q34" s="41"/>
      <c r="R34" s="41"/>
      <c r="S34" s="41"/>
      <c r="T34" s="42"/>
    </row>
    <row r="35" spans="1:20" x14ac:dyDescent="0.3">
      <c r="A35" s="50" t="s">
        <v>98</v>
      </c>
      <c r="B35" s="41"/>
      <c r="C35" s="41"/>
      <c r="D35" s="41"/>
      <c r="E35" s="41"/>
      <c r="F35" s="41"/>
      <c r="G35" s="41"/>
      <c r="H35" s="41"/>
      <c r="I35" s="41"/>
      <c r="J35" s="42"/>
      <c r="K35" s="65"/>
      <c r="L35" s="50"/>
      <c r="M35" s="41"/>
      <c r="N35" s="41" t="s">
        <v>99</v>
      </c>
      <c r="O35" s="41"/>
      <c r="P35" s="41" t="s">
        <v>100</v>
      </c>
      <c r="Q35" s="41"/>
      <c r="R35" s="41"/>
      <c r="S35" s="41"/>
      <c r="T35" s="42"/>
    </row>
    <row r="36" spans="1:20" x14ac:dyDescent="0.3">
      <c r="A36" s="50" t="s">
        <v>101</v>
      </c>
      <c r="B36" s="41"/>
      <c r="C36" s="41"/>
      <c r="D36" s="41"/>
      <c r="E36" s="41"/>
      <c r="F36" s="41"/>
      <c r="G36" s="41"/>
      <c r="H36" s="41"/>
      <c r="I36" s="41"/>
      <c r="J36" s="42"/>
      <c r="K36" s="65"/>
      <c r="L36" s="50"/>
      <c r="M36" s="41"/>
      <c r="N36" s="41" t="s">
        <v>102</v>
      </c>
      <c r="O36" s="41"/>
      <c r="P36" s="41" t="s">
        <v>103</v>
      </c>
      <c r="Q36" s="41"/>
      <c r="R36" s="41"/>
      <c r="S36" s="41"/>
      <c r="T36" s="42"/>
    </row>
    <row r="37" spans="1:20" x14ac:dyDescent="0.3">
      <c r="A37" s="50" t="s">
        <v>104</v>
      </c>
      <c r="B37" s="41"/>
      <c r="C37" s="41"/>
      <c r="D37" s="41"/>
      <c r="E37" s="41"/>
      <c r="F37" s="41"/>
      <c r="G37" s="41"/>
      <c r="H37" s="41"/>
      <c r="I37" s="41"/>
      <c r="J37" s="42"/>
      <c r="K37" s="65"/>
      <c r="L37" s="50"/>
      <c r="M37" s="41"/>
      <c r="N37" s="41" t="s">
        <v>105</v>
      </c>
      <c r="O37" s="41"/>
      <c r="P37" s="41" t="s">
        <v>106</v>
      </c>
      <c r="Q37" s="41"/>
      <c r="R37" s="41"/>
      <c r="S37" s="41"/>
      <c r="T37" s="42"/>
    </row>
    <row r="38" spans="1:20" x14ac:dyDescent="0.3">
      <c r="A38" s="52"/>
      <c r="B38" s="53"/>
      <c r="C38" s="53"/>
      <c r="D38" s="53"/>
      <c r="E38" s="53"/>
      <c r="F38" s="53"/>
      <c r="G38" s="53"/>
      <c r="H38" s="53"/>
      <c r="I38" s="53"/>
      <c r="J38" s="54"/>
      <c r="K38" s="67"/>
      <c r="L38" s="52"/>
      <c r="M38" s="53"/>
      <c r="N38" s="53" t="s">
        <v>107</v>
      </c>
      <c r="O38" s="53"/>
      <c r="P38" s="53"/>
      <c r="Q38" s="53"/>
      <c r="R38" s="53"/>
      <c r="S38" s="53"/>
      <c r="T38" s="54"/>
    </row>
    <row r="39" spans="1:20" x14ac:dyDescent="0.3">
      <c r="A39" s="68" t="s">
        <v>38</v>
      </c>
      <c r="B39" s="68"/>
    </row>
  </sheetData>
  <mergeCells count="15">
    <mergeCell ref="A1:G2"/>
    <mergeCell ref="I1:K1"/>
    <mergeCell ref="L1:P1"/>
    <mergeCell ref="I2:K2"/>
    <mergeCell ref="L2:P2"/>
    <mergeCell ref="R4:T4"/>
    <mergeCell ref="E16:G16"/>
    <mergeCell ref="N16:P16"/>
    <mergeCell ref="E19:G19"/>
    <mergeCell ref="A28:C28"/>
    <mergeCell ref="L28:N28"/>
    <mergeCell ref="A4:C4"/>
    <mergeCell ref="E4:G4"/>
    <mergeCell ref="I4:L4"/>
    <mergeCell ref="N4:P4"/>
  </mergeCells>
  <printOptions horizontalCentered="1" verticalCentered="1"/>
  <pageMargins left="0" right="0" top="0" bottom="0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42A2AB2-C96A-4F1D-A896-B2666E5A28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22</vt:i4>
      </vt:variant>
    </vt:vector>
  </HeadingPairs>
  <TitlesOfParts>
    <vt:vector size="30" baseType="lpstr">
      <vt:lpstr>Enero</vt:lpstr>
      <vt:lpstr>Febrero</vt:lpstr>
      <vt:lpstr>Agosto</vt:lpstr>
      <vt:lpstr>Septiembre</vt:lpstr>
      <vt:lpstr>Octubre</vt:lpstr>
      <vt:lpstr>Noviembre</vt:lpstr>
      <vt:lpstr>Diciembre</vt:lpstr>
      <vt:lpstr>Canvas</vt:lpstr>
      <vt:lpstr>Año_Calendario</vt:lpstr>
      <vt:lpstr>Agosto!Área_de_impresión</vt:lpstr>
      <vt:lpstr>Diciembre!Área_de_impresión</vt:lpstr>
      <vt:lpstr>Enero!Área_de_impresión</vt:lpstr>
      <vt:lpstr>Febrero!Área_de_impresión</vt:lpstr>
      <vt:lpstr>Noviembre!Área_de_impresión</vt:lpstr>
      <vt:lpstr>Octubre!Área_de_impresión</vt:lpstr>
      <vt:lpstr>Septiembre!Área_de_impresión</vt:lpstr>
      <vt:lpstr>Agosto!DíasDeTareas</vt:lpstr>
      <vt:lpstr>Diciembre!DíasDeTareas</vt:lpstr>
      <vt:lpstr>Febrero!DíasDeTareas</vt:lpstr>
      <vt:lpstr>Noviembre!DíasDeTareas</vt:lpstr>
      <vt:lpstr>Octubre!DíasDeTareas</vt:lpstr>
      <vt:lpstr>Septiembre!DíasDeTareas</vt:lpstr>
      <vt:lpstr>DíasDeTareas</vt:lpstr>
      <vt:lpstr>Agosto!TablaFechasImportantes</vt:lpstr>
      <vt:lpstr>Diciembre!TablaFechasImportantes</vt:lpstr>
      <vt:lpstr>Febrero!TablaFechasImportantes</vt:lpstr>
      <vt:lpstr>Noviembre!TablaFechasImportantes</vt:lpstr>
      <vt:lpstr>Octubre!TablaFechasImportantes</vt:lpstr>
      <vt:lpstr>Septiembre!TablaFechasImportantes</vt:lpstr>
      <vt:lpstr>TablaFechasImportantes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Francisco Javes Sanchez</dc:creator>
  <cp:lastModifiedBy>Augusto Francisco Javes Sanchez</cp:lastModifiedBy>
  <cp:lastPrinted>2017-04-03T21:17:40Z</cp:lastPrinted>
  <dcterms:created xsi:type="dcterms:W3CDTF">2017-03-15T15:00:15Z</dcterms:created>
  <dcterms:modified xsi:type="dcterms:W3CDTF">2017-04-17T22:26:51Z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TC025512749991</vt:lpwstr>
  </property>
</Properties>
</file>